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my Amos\Desktop\Desktop\Cert 4 in Contracts Administration\SUBMITTED\13. CPCCBC4005A Produce Labour and Material Schedules for Ordering\"/>
    </mc:Choice>
  </mc:AlternateContent>
  <xr:revisionPtr revIDLastSave="0" documentId="8_{FA155ADE-20AA-4B10-A400-3020A8AAC31E}" xr6:coauthVersionLast="45" xr6:coauthVersionMax="45" xr10:uidLastSave="{00000000-0000-0000-0000-000000000000}"/>
  <bookViews>
    <workbookView xWindow="28680" yWindow="-120" windowWidth="29040" windowHeight="15840" xr2:uid="{1EB44BCE-8F0D-4864-A532-F8435B506AA6}"/>
  </bookViews>
  <sheets>
    <sheet name="Org. BOQ-Trade Breaku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64" i="1" l="1"/>
  <c r="F63" i="1"/>
  <c r="C63" i="1"/>
  <c r="F18" i="1"/>
  <c r="C13" i="1"/>
  <c r="C12" i="1"/>
  <c r="C89" i="1" l="1"/>
  <c r="F89" i="1" s="1"/>
  <c r="F88" i="1"/>
  <c r="C88" i="1"/>
  <c r="F87" i="1"/>
  <c r="C87" i="1"/>
  <c r="C85" i="1"/>
  <c r="F85" i="1" s="1"/>
  <c r="C84" i="1"/>
  <c r="F84" i="1" s="1"/>
  <c r="F82" i="1"/>
  <c r="C82" i="1"/>
  <c r="F81" i="1"/>
  <c r="C81" i="1"/>
  <c r="C80" i="1"/>
  <c r="F80" i="1" s="1"/>
  <c r="C79" i="1"/>
  <c r="F79" i="1" s="1"/>
  <c r="F78" i="1"/>
  <c r="C78" i="1"/>
  <c r="F77" i="1"/>
  <c r="C77" i="1"/>
  <c r="C74" i="1"/>
  <c r="F74" i="1" s="1"/>
  <c r="C73" i="1"/>
  <c r="F73" i="1" s="1"/>
  <c r="F72" i="1"/>
  <c r="C72" i="1"/>
  <c r="F71" i="1"/>
  <c r="C71" i="1"/>
  <c r="C70" i="1"/>
  <c r="F70" i="1" s="1"/>
  <c r="C69" i="1"/>
  <c r="F69" i="1" s="1"/>
  <c r="F68" i="1"/>
  <c r="C68" i="1"/>
  <c r="F66" i="1"/>
  <c r="C66" i="1"/>
  <c r="F64" i="1"/>
  <c r="C62" i="1"/>
  <c r="F62" i="1" s="1"/>
  <c r="F61" i="1"/>
  <c r="C61" i="1"/>
  <c r="C60" i="1"/>
  <c r="F60" i="1" s="1"/>
  <c r="C59" i="1"/>
  <c r="F59" i="1" s="1"/>
  <c r="C56" i="1"/>
  <c r="C55" i="1"/>
  <c r="C54" i="1"/>
  <c r="C53" i="1"/>
  <c r="C49" i="1"/>
  <c r="F49" i="1" s="1"/>
  <c r="F48" i="1"/>
  <c r="C48" i="1"/>
  <c r="C46" i="1"/>
  <c r="F46" i="1" s="1"/>
  <c r="C45" i="1"/>
  <c r="F45" i="1" s="1"/>
  <c r="C42" i="1"/>
  <c r="F42" i="1" s="1"/>
  <c r="F41" i="1"/>
  <c r="C41" i="1"/>
  <c r="C39" i="1"/>
  <c r="F39" i="1" s="1"/>
  <c r="C38" i="1"/>
  <c r="F38" i="1" s="1"/>
  <c r="C37" i="1"/>
  <c r="F37" i="1" s="1"/>
  <c r="F35" i="1"/>
  <c r="C35" i="1"/>
  <c r="C34" i="1"/>
  <c r="F34" i="1" s="1"/>
  <c r="C33" i="1"/>
  <c r="F33" i="1" s="1"/>
  <c r="C32" i="1"/>
  <c r="F32" i="1" s="1"/>
  <c r="F30" i="1"/>
  <c r="C30" i="1"/>
  <c r="C29" i="1"/>
  <c r="F29" i="1" s="1"/>
  <c r="C28" i="1"/>
  <c r="F28" i="1" s="1"/>
  <c r="C27" i="1"/>
  <c r="F27" i="1" s="1"/>
  <c r="F25" i="1"/>
  <c r="C25" i="1"/>
  <c r="C24" i="1"/>
  <c r="F24" i="1" s="1"/>
  <c r="C23" i="1"/>
  <c r="F23" i="1" s="1"/>
  <c r="C21" i="1"/>
  <c r="F21" i="1" s="1"/>
  <c r="F20" i="1"/>
  <c r="C20" i="1"/>
  <c r="C18" i="1"/>
  <c r="C16" i="1"/>
  <c r="C15" i="1"/>
  <c r="F13" i="1"/>
  <c r="C11" i="1"/>
  <c r="F11" i="1" s="1"/>
  <c r="C10" i="1"/>
  <c r="F10" i="1" s="1"/>
  <c r="C9" i="1"/>
  <c r="C8" i="1"/>
  <c r="F8" i="1" s="1"/>
  <c r="C7" i="1"/>
  <c r="C6" i="1"/>
  <c r="C5" i="1"/>
  <c r="C4" i="1"/>
  <c r="F4" i="1" s="1"/>
  <c r="F90" i="1" l="1"/>
  <c r="F92" i="1" l="1"/>
  <c r="F93" i="1" s="1"/>
</calcChain>
</file>

<file path=xl/sharedStrings.xml><?xml version="1.0" encoding="utf-8"?>
<sst xmlns="http://schemas.openxmlformats.org/spreadsheetml/2006/main" count="237" uniqueCount="163">
  <si>
    <t>Bill Ref.</t>
  </si>
  <si>
    <t>Description</t>
  </si>
  <si>
    <t>Quantity</t>
  </si>
  <si>
    <t>Unit</t>
  </si>
  <si>
    <t>Rate</t>
  </si>
  <si>
    <t>Total</t>
  </si>
  <si>
    <t>Bulk Excavation</t>
  </si>
  <si>
    <t>ALLOWANCES</t>
  </si>
  <si>
    <t>A/202</t>
  </si>
  <si>
    <t>Allow for testing and inspections</t>
  </si>
  <si>
    <t>sum</t>
  </si>
  <si>
    <t>A/203</t>
  </si>
  <si>
    <t>Allow for samples and submissions</t>
  </si>
  <si>
    <t>A/204</t>
  </si>
  <si>
    <t>Allow for records and record keeping</t>
  </si>
  <si>
    <t>A/205</t>
  </si>
  <si>
    <t>Allow for giving all notices and complying with all regulations</t>
  </si>
  <si>
    <t>A/206</t>
  </si>
  <si>
    <t>Allow for keeping excavation free from rain and percolating water by pumping or otherwise</t>
  </si>
  <si>
    <t>A/207</t>
  </si>
  <si>
    <t>Allow to engage a Geotechnical Engineer as specified</t>
  </si>
  <si>
    <t>A/208</t>
  </si>
  <si>
    <t>Allow for soft spots and replace with compact select fill</t>
  </si>
  <si>
    <t>A/209</t>
  </si>
  <si>
    <t>Allow for forming swale drain</t>
  </si>
  <si>
    <t>A/210</t>
  </si>
  <si>
    <t>Allow for disposal of surplus excavated material at an approved tip site</t>
  </si>
  <si>
    <t>SITE CLEARING</t>
  </si>
  <si>
    <t>A/211</t>
  </si>
  <si>
    <t>Allow for clearing the site of all vegetable matter, debris, rubbish etc (100mm thick) including trees and shrubs not exceeding 500mm girth complete with stumps and roots</t>
  </si>
  <si>
    <t>m²</t>
  </si>
  <si>
    <t>A/212</t>
  </si>
  <si>
    <t>Remove trees complete with stump and roots; refer to TPP_Ranbury_Greenslopes_201908_Issue B Tree Data Table</t>
  </si>
  <si>
    <t>item</t>
  </si>
  <si>
    <t>BULK EXCAVATION (to 200mm below FSL) (REFER TO DOUGLAS PARTNERS REPORT FOR SITE CONDITIONS)</t>
  </si>
  <si>
    <t>A/214</t>
  </si>
  <si>
    <t xml:space="preserve">Allow for 3 distinct stages of works </t>
  </si>
  <si>
    <t>Cut to stockpile for reuse on site</t>
  </si>
  <si>
    <t>A/301</t>
  </si>
  <si>
    <t>PAD 1 to RL 12.00 (ave depth 3000mm)</t>
  </si>
  <si>
    <t>m3</t>
  </si>
  <si>
    <t>A/302</t>
  </si>
  <si>
    <t>PAD 2 to RL 10.00 (ave depth 5800mm)</t>
  </si>
  <si>
    <t>Cut to dispose of site</t>
  </si>
  <si>
    <t>A/303</t>
  </si>
  <si>
    <t>A/304</t>
  </si>
  <si>
    <t>Pad 3 to RL 12.80 (ave depth 3400mm)</t>
  </si>
  <si>
    <t>A/305</t>
  </si>
  <si>
    <t>Pad 4 to RL 14.00 (ave depth 1700mm)</t>
  </si>
  <si>
    <t>Allow for form batters for safe working (1V:1H), and stockpile on site for reuse</t>
  </si>
  <si>
    <t>A/306</t>
  </si>
  <si>
    <t>0 - 1000mm high</t>
  </si>
  <si>
    <t>A/307</t>
  </si>
  <si>
    <t>1000 - 2000mm high</t>
  </si>
  <si>
    <t>A/308</t>
  </si>
  <si>
    <t>2500 - 3000mm high</t>
  </si>
  <si>
    <t>A/309</t>
  </si>
  <si>
    <t>4500 - 5000mm high</t>
  </si>
  <si>
    <t>Bulk filling behind new structure using site won material under level 1 supervision</t>
  </si>
  <si>
    <t>A/310</t>
  </si>
  <si>
    <t>A/311</t>
  </si>
  <si>
    <t>A/312</t>
  </si>
  <si>
    <t>A/313</t>
  </si>
  <si>
    <t>Bulk filling under new structure using site won material under level 1 supervision</t>
  </si>
  <si>
    <t>A/314</t>
  </si>
  <si>
    <t>A/315</t>
  </si>
  <si>
    <t>Filling of open excavation for tank removal, using material won from main excavation under level 1 supervision</t>
  </si>
  <si>
    <t>A/316</t>
  </si>
  <si>
    <t xml:space="preserve">Trim and proof roll ready for concreter </t>
  </si>
  <si>
    <t>m2</t>
  </si>
  <si>
    <t>Surface preparation</t>
  </si>
  <si>
    <t>A/317</t>
  </si>
  <si>
    <t>Preparation of excavated surfaces</t>
  </si>
  <si>
    <t>A/401</t>
  </si>
  <si>
    <t>Preparation of excavated surfaces (trim and proof roll)</t>
  </si>
  <si>
    <t>FILLING AND HARDCORE</t>
  </si>
  <si>
    <t>200mm thick drainage layer</t>
  </si>
  <si>
    <t>A/402</t>
  </si>
  <si>
    <t>Retaining wall type 1 (Insitu) (4000 - 4500mm high)</t>
  </si>
  <si>
    <t>A/403</t>
  </si>
  <si>
    <t>Retaining wall type 2 (Blockwork) (2000 - 3000mm high)</t>
  </si>
  <si>
    <t>90mm dia aggregate pipe</t>
  </si>
  <si>
    <t>A/404</t>
  </si>
  <si>
    <t>m</t>
  </si>
  <si>
    <t>A/405</t>
  </si>
  <si>
    <t>Retaining wall type 2 (Blockwork) (4000 - 4500mm high)</t>
  </si>
  <si>
    <t>External Services</t>
  </si>
  <si>
    <t>Hydraulic</t>
  </si>
  <si>
    <t>Water and Wet Fire</t>
  </si>
  <si>
    <t>C/402</t>
  </si>
  <si>
    <t>Cap of existing 100mm water connection to building</t>
  </si>
  <si>
    <t>C/403</t>
  </si>
  <si>
    <t>Tee into existing 150mm trunk main with a 150mm dia branch</t>
  </si>
  <si>
    <t>C/404</t>
  </si>
  <si>
    <t>150mm watermain under carrigeway, incl reinstatement of asphalt</t>
  </si>
  <si>
    <t>C/405</t>
  </si>
  <si>
    <t>150mm watermain in berm, excl fabric reinstatement</t>
  </si>
  <si>
    <t>Stormwater</t>
  </si>
  <si>
    <t>Manholes</t>
  </si>
  <si>
    <t>C/505</t>
  </si>
  <si>
    <t>1050 x 1600mm deep MHR with concrete lid and grate/frame, incl conc apron, intersecting an existing 375mm dia pipe, and a new 375 RCP lead out</t>
  </si>
  <si>
    <t>no</t>
  </si>
  <si>
    <t>C/506</t>
  </si>
  <si>
    <t>1050 x 1600mm deep MHR with concrete lid and solid cast lid and frame, 600mm dia pipe (existing) in and new 600mm dia pipe out</t>
  </si>
  <si>
    <t>C/507</t>
  </si>
  <si>
    <t>1050 x 2700mm deep MHR with concrete lid and solid cast lid and frame, new 600mm dia pipe out</t>
  </si>
  <si>
    <t>C/508</t>
  </si>
  <si>
    <t>1200 x 2000mm deep MHR with concrete lid, casting complete, placed and connected to an existing 375 dia pipe laid in the carrigeway</t>
  </si>
  <si>
    <t>C/509</t>
  </si>
  <si>
    <t>3250mm ID Stormwater 360 MHR with base with one 150mm inlet and one 150mm outlet system installed</t>
  </si>
  <si>
    <t>Sumps</t>
  </si>
  <si>
    <t>C/510</t>
  </si>
  <si>
    <t>1050 x 4000mm deep MHR with grated entry, with one 375mm dia lead out</t>
  </si>
  <si>
    <t>Pipework (All laid in trench complete, incl all fittings, connections and the like, excl final fabric reinstatement</t>
  </si>
  <si>
    <t>C/511</t>
  </si>
  <si>
    <t>100 UPVC pipe 1.0 - 2.0m deep</t>
  </si>
  <si>
    <t>C/601</t>
  </si>
  <si>
    <t>150 UPVC pipe 1.0 - 2.0m deep</t>
  </si>
  <si>
    <t>C/602</t>
  </si>
  <si>
    <t>225 UPVC pipe 1.0 - 2.0m deep</t>
  </si>
  <si>
    <t>C/603</t>
  </si>
  <si>
    <t>375 Class 2 pipe 0.6 - 1.0m deep</t>
  </si>
  <si>
    <t>C/604</t>
  </si>
  <si>
    <t>375 Class 2 pipe 3.0 - 4.0m deep</t>
  </si>
  <si>
    <t>C/605</t>
  </si>
  <si>
    <t>600 Class 2 pipe 0.6 - 1.0m deep</t>
  </si>
  <si>
    <t>C/606</t>
  </si>
  <si>
    <t>Connect 375 pipe to existing sump complete</t>
  </si>
  <si>
    <t>Hard landscaping</t>
  </si>
  <si>
    <t>Hard surfaces</t>
  </si>
  <si>
    <t>C/613</t>
  </si>
  <si>
    <t xml:space="preserve">P1 - Exposed agg paths to BCC standard city street minor </t>
  </si>
  <si>
    <t>C/614</t>
  </si>
  <si>
    <t>P3 - Broom finished paths to BCC Neighbourhood street Major</t>
  </si>
  <si>
    <t>C/615</t>
  </si>
  <si>
    <t>New HD crossing</t>
  </si>
  <si>
    <t>C/616</t>
  </si>
  <si>
    <t>RG - River rock mulch - 150mm drainage gravel over fabric</t>
  </si>
  <si>
    <t>C/617</t>
  </si>
  <si>
    <t>CE - Concrete edge - 150mm wide off form</t>
  </si>
  <si>
    <t>C/618</t>
  </si>
  <si>
    <t>Concrete pumps</t>
  </si>
  <si>
    <t>visits</t>
  </si>
  <si>
    <t>Roading</t>
  </si>
  <si>
    <t>C/619</t>
  </si>
  <si>
    <t>50mm thick asphalt concrete paving; 100mm thick CBR80 and 150mm thick CBR45 sub-grade; including excavation and disposal</t>
  </si>
  <si>
    <t>C/701</t>
  </si>
  <si>
    <t>Ev for reinstating small areas around new structure 1000mm wide</t>
  </si>
  <si>
    <t>Kerb and Channel</t>
  </si>
  <si>
    <t>C/702</t>
  </si>
  <si>
    <t>Barrier kerb</t>
  </si>
  <si>
    <t>C/703</t>
  </si>
  <si>
    <t>150 x 150mm high kerb (placed on slab)</t>
  </si>
  <si>
    <t>C/704</t>
  </si>
  <si>
    <t>Reshape existing verge along Barnsdale road to new levels prior to laying new footpaths and kerbs - see EW-03 for details</t>
  </si>
  <si>
    <t>Subtotal</t>
  </si>
  <si>
    <t>Adjustment</t>
  </si>
  <si>
    <t>G.S.T</t>
  </si>
  <si>
    <t>Added Item</t>
  </si>
  <si>
    <t>Allowance for the purchase of water</t>
  </si>
  <si>
    <t>Included</t>
  </si>
  <si>
    <t>Excluded</t>
  </si>
  <si>
    <t>Construct Drainage Structure - 1300mmOD Manhole Within 2700mmOD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</si>
</sst>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3"/>
      <color rgb="FF1F497D"/>
      <name val="Calibri"/>
      <family val="2"/>
    </font>
    <font>
      <b/>
      <sz val="14"/>
      <name val="Calibri"/>
      <family val="2"/>
    </font>
    <font>
      <b/>
      <sz val="12"/>
      <name val="Calibri"/>
      <family val="2"/>
    </font>
    <font>
      <b/>
      <sz val="11"/>
      <name val="Calibri"/>
      <family val="2"/>
    </font>
    <font>
      <u/>
      <sz val="11"/>
      <name val="Calibri"/>
      <family val="2"/>
    </font>
    <font>
      <sz val="13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B8CCE4"/>
      </patternFill>
    </fill>
    <fill>
      <patternFill patternType="solid">
        <fgColor rgb="FFCAD9EA"/>
      </patternFill>
    </fill>
    <fill>
      <patternFill patternType="solid">
        <fgColor rgb="FFA7C0DD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4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/>
    </xf>
    <xf numFmtId="4" fontId="3" fillId="2" borderId="0" xfId="0" applyNumberFormat="1" applyFont="1" applyFill="1" applyAlignment="1">
      <alignment horizontal="center" vertical="center" wrapText="1"/>
    </xf>
    <xf numFmtId="4" fontId="3" fillId="2" borderId="0" xfId="0" applyNumberFormat="1" applyFont="1" applyFill="1" applyAlignment="1">
      <alignment vertical="center" wrapText="1"/>
    </xf>
    <xf numFmtId="4" fontId="3" fillId="2" borderId="0" xfId="0" applyNumberFormat="1" applyFont="1" applyFill="1" applyAlignment="1">
      <alignment horizontal="right" vertical="center" wrapText="1"/>
    </xf>
    <xf numFmtId="4" fontId="4" fillId="3" borderId="0" xfId="0" applyNumberFormat="1" applyFont="1" applyFill="1" applyAlignment="1">
      <alignment horizontal="center" vertical="center" wrapText="1"/>
    </xf>
    <xf numFmtId="4" fontId="4" fillId="3" borderId="0" xfId="0" applyNumberFormat="1" applyFont="1" applyFill="1" applyAlignment="1">
      <alignment vertical="center" wrapText="1"/>
    </xf>
    <xf numFmtId="4" fontId="4" fillId="3" borderId="0" xfId="0" applyNumberFormat="1" applyFont="1" applyFill="1" applyAlignment="1">
      <alignment horizontal="right" vertical="center" wrapText="1"/>
    </xf>
    <xf numFmtId="4" fontId="0" fillId="0" borderId="0" xfId="0" applyNumberFormat="1" applyAlignment="1">
      <alignment horizontal="center" vertical="center" wrapText="1"/>
    </xf>
    <xf numFmtId="4" fontId="0" fillId="0" borderId="0" xfId="0" applyNumberFormat="1" applyAlignment="1">
      <alignment vertical="center" wrapText="1"/>
    </xf>
    <xf numFmtId="4" fontId="0" fillId="0" borderId="0" xfId="0" applyNumberFormat="1" applyAlignment="1">
      <alignment horizontal="right" vertical="center" wrapText="1"/>
    </xf>
    <xf numFmtId="4" fontId="1" fillId="5" borderId="0" xfId="0" applyNumberFormat="1" applyFont="1" applyFill="1" applyAlignment="1">
      <alignment horizontal="center" vertical="center" wrapText="1"/>
    </xf>
    <xf numFmtId="4" fontId="1" fillId="5" borderId="0" xfId="0" applyNumberFormat="1" applyFont="1" applyFill="1" applyAlignment="1">
      <alignment vertical="center" wrapText="1"/>
    </xf>
    <xf numFmtId="4" fontId="1" fillId="5" borderId="0" xfId="0" applyNumberFormat="1" applyFont="1" applyFill="1" applyAlignment="1">
      <alignment horizontal="right" vertical="center" wrapText="1"/>
    </xf>
    <xf numFmtId="4" fontId="5" fillId="0" borderId="0" xfId="0" applyNumberFormat="1" applyFont="1" applyAlignment="1">
      <alignment horizontal="center" vertical="center" wrapText="1"/>
    </xf>
    <xf numFmtId="4" fontId="5" fillId="0" borderId="0" xfId="0" applyNumberFormat="1" applyFont="1" applyAlignment="1">
      <alignment vertical="center" wrapText="1"/>
    </xf>
    <xf numFmtId="4" fontId="5" fillId="0" borderId="0" xfId="0" applyNumberFormat="1" applyFont="1" applyAlignment="1">
      <alignment horizontal="right" vertical="center" wrapText="1"/>
    </xf>
    <xf numFmtId="4" fontId="6" fillId="0" borderId="0" xfId="0" applyNumberFormat="1" applyFont="1" applyAlignment="1">
      <alignment horizontal="center" vertical="center" wrapText="1"/>
    </xf>
    <xf numFmtId="4" fontId="6" fillId="0" borderId="0" xfId="0" applyNumberFormat="1" applyFont="1" applyAlignment="1">
      <alignment vertical="center" wrapText="1"/>
    </xf>
    <xf numFmtId="4" fontId="6" fillId="0" borderId="0" xfId="0" applyNumberFormat="1" applyFont="1" applyAlignment="1">
      <alignment horizontal="right" vertical="center" wrapText="1"/>
    </xf>
    <xf numFmtId="4" fontId="7" fillId="2" borderId="0" xfId="0" applyNumberFormat="1" applyFont="1" applyFill="1" applyAlignment="1">
      <alignment vertical="center" wrapText="1"/>
    </xf>
    <xf numFmtId="4" fontId="3" fillId="4" borderId="0" xfId="0" applyNumberFormat="1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1836A-A3A5-4B1F-8707-3731A795C763}">
  <sheetPr>
    <pageSetUpPr fitToPage="1"/>
  </sheetPr>
  <dimension ref="A1:F93"/>
  <sheetViews>
    <sheetView tabSelected="1" view="pageLayout" zoomScaleNormal="100" workbookViewId="0">
      <selection activeCell="B8" sqref="B8"/>
    </sheetView>
  </sheetViews>
  <sheetFormatPr defaultRowHeight="15" x14ac:dyDescent="0.25"/>
  <cols>
    <col min="1" max="1" width="13.7109375" style="2" customWidth="1"/>
    <col min="2" max="2" width="60.140625" style="2" bestFit="1" customWidth="1"/>
    <col min="3" max="3" width="10.85546875" style="2" customWidth="1"/>
    <col min="4" max="4" width="9.140625" style="2"/>
    <col min="5" max="5" width="12.7109375" style="2" customWidth="1"/>
    <col min="6" max="6" width="20" style="2" customWidth="1"/>
    <col min="7" max="16384" width="9.140625" style="2"/>
  </cols>
  <sheetData>
    <row r="1" spans="1:6" ht="17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8.75" x14ac:dyDescent="0.25">
      <c r="A2" s="3"/>
      <c r="B2" s="4" t="s">
        <v>6</v>
      </c>
      <c r="C2" s="5"/>
      <c r="D2" s="5"/>
      <c r="E2" s="5"/>
      <c r="F2" s="5"/>
    </row>
    <row r="3" spans="1:6" ht="15.75" x14ac:dyDescent="0.25">
      <c r="A3" s="6"/>
      <c r="B3" s="7" t="s">
        <v>7</v>
      </c>
      <c r="C3" s="8"/>
      <c r="D3" s="8"/>
      <c r="E3" s="8"/>
      <c r="F3" s="8"/>
    </row>
    <row r="4" spans="1:6" x14ac:dyDescent="0.25">
      <c r="A4" s="9" t="s">
        <v>8</v>
      </c>
      <c r="B4" s="10" t="s">
        <v>9</v>
      </c>
      <c r="C4" s="11">
        <f t="shared" ref="C4:C13" si="0">(1)*(1)*(1)*(1)*(1 + (0))</f>
        <v>1</v>
      </c>
      <c r="D4" s="11" t="s">
        <v>10</v>
      </c>
      <c r="E4" s="11">
        <v>25650</v>
      </c>
      <c r="F4" s="11">
        <f t="shared" ref="F4:F13" si="1">C4*E4</f>
        <v>25650</v>
      </c>
    </row>
    <row r="5" spans="1:6" x14ac:dyDescent="0.25">
      <c r="A5" s="9" t="s">
        <v>11</v>
      </c>
      <c r="B5" s="10" t="s">
        <v>12</v>
      </c>
      <c r="C5" s="11">
        <f t="shared" si="0"/>
        <v>1</v>
      </c>
      <c r="D5" s="11" t="s">
        <v>10</v>
      </c>
      <c r="E5" s="11"/>
      <c r="F5" s="11" t="s">
        <v>160</v>
      </c>
    </row>
    <row r="6" spans="1:6" x14ac:dyDescent="0.25">
      <c r="A6" s="9" t="s">
        <v>13</v>
      </c>
      <c r="B6" s="10" t="s">
        <v>14</v>
      </c>
      <c r="C6" s="11">
        <f t="shared" si="0"/>
        <v>1</v>
      </c>
      <c r="D6" s="11" t="s">
        <v>10</v>
      </c>
      <c r="E6" s="11"/>
      <c r="F6" s="11" t="s">
        <v>160</v>
      </c>
    </row>
    <row r="7" spans="1:6" x14ac:dyDescent="0.25">
      <c r="A7" s="9" t="s">
        <v>15</v>
      </c>
      <c r="B7" s="10" t="s">
        <v>16</v>
      </c>
      <c r="C7" s="11">
        <f t="shared" si="0"/>
        <v>1</v>
      </c>
      <c r="D7" s="11" t="s">
        <v>10</v>
      </c>
      <c r="E7" s="11"/>
      <c r="F7" s="11" t="s">
        <v>160</v>
      </c>
    </row>
    <row r="8" spans="1:6" ht="30" x14ac:dyDescent="0.25">
      <c r="A8" s="9" t="s">
        <v>17</v>
      </c>
      <c r="B8" s="10" t="s">
        <v>18</v>
      </c>
      <c r="C8" s="11">
        <f t="shared" si="0"/>
        <v>1</v>
      </c>
      <c r="D8" s="11" t="s">
        <v>10</v>
      </c>
      <c r="E8" s="11">
        <v>14600</v>
      </c>
      <c r="F8" s="11">
        <f t="shared" si="1"/>
        <v>14600</v>
      </c>
    </row>
    <row r="9" spans="1:6" x14ac:dyDescent="0.25">
      <c r="A9" s="9" t="s">
        <v>19</v>
      </c>
      <c r="B9" s="10" t="s">
        <v>20</v>
      </c>
      <c r="C9" s="11">
        <f t="shared" si="0"/>
        <v>1</v>
      </c>
      <c r="D9" s="11" t="s">
        <v>10</v>
      </c>
      <c r="E9" s="11"/>
      <c r="F9" s="11" t="s">
        <v>160</v>
      </c>
    </row>
    <row r="10" spans="1:6" x14ac:dyDescent="0.25">
      <c r="A10" s="9" t="s">
        <v>21</v>
      </c>
      <c r="B10" s="10" t="s">
        <v>22</v>
      </c>
      <c r="C10" s="11">
        <f t="shared" si="0"/>
        <v>1</v>
      </c>
      <c r="D10" s="11" t="s">
        <v>10</v>
      </c>
      <c r="E10" s="11">
        <v>5550</v>
      </c>
      <c r="F10" s="11">
        <f t="shared" si="1"/>
        <v>5550</v>
      </c>
    </row>
    <row r="11" spans="1:6" x14ac:dyDescent="0.25">
      <c r="A11" s="9" t="s">
        <v>23</v>
      </c>
      <c r="B11" s="10" t="s">
        <v>24</v>
      </c>
      <c r="C11" s="11">
        <f t="shared" si="0"/>
        <v>1</v>
      </c>
      <c r="D11" s="11" t="s">
        <v>10</v>
      </c>
      <c r="E11" s="11">
        <v>11500</v>
      </c>
      <c r="F11" s="11">
        <f t="shared" si="1"/>
        <v>11500</v>
      </c>
    </row>
    <row r="12" spans="1:6" ht="30" x14ac:dyDescent="0.25">
      <c r="A12" s="9" t="s">
        <v>25</v>
      </c>
      <c r="B12" s="10" t="s">
        <v>26</v>
      </c>
      <c r="C12" s="11">
        <f t="shared" si="0"/>
        <v>1</v>
      </c>
      <c r="D12" s="11" t="s">
        <v>10</v>
      </c>
      <c r="E12" s="11"/>
      <c r="F12" s="11" t="s">
        <v>160</v>
      </c>
    </row>
    <row r="13" spans="1:6" x14ac:dyDescent="0.25">
      <c r="A13" s="12" t="s">
        <v>158</v>
      </c>
      <c r="B13" s="13" t="s">
        <v>159</v>
      </c>
      <c r="C13" s="14">
        <f t="shared" si="0"/>
        <v>1</v>
      </c>
      <c r="D13" s="14" t="s">
        <v>10</v>
      </c>
      <c r="E13" s="14">
        <v>15900</v>
      </c>
      <c r="F13" s="14">
        <f t="shared" si="1"/>
        <v>15900</v>
      </c>
    </row>
    <row r="14" spans="1:6" ht="15.75" x14ac:dyDescent="0.25">
      <c r="A14" s="6"/>
      <c r="B14" s="7" t="s">
        <v>27</v>
      </c>
      <c r="C14" s="8"/>
      <c r="D14" s="8"/>
      <c r="E14" s="8"/>
      <c r="F14" s="8"/>
    </row>
    <row r="15" spans="1:6" ht="45" x14ac:dyDescent="0.25">
      <c r="A15" s="9" t="s">
        <v>28</v>
      </c>
      <c r="B15" s="10" t="s">
        <v>29</v>
      </c>
      <c r="C15" s="11">
        <f>(7178.3)*(1)*(1)*(1)*(1 + (0))</f>
        <v>7178.3</v>
      </c>
      <c r="D15" s="11" t="s">
        <v>30</v>
      </c>
      <c r="E15" s="11"/>
      <c r="F15" s="11" t="s">
        <v>161</v>
      </c>
    </row>
    <row r="16" spans="1:6" ht="30" x14ac:dyDescent="0.25">
      <c r="A16" s="9" t="s">
        <v>31</v>
      </c>
      <c r="B16" s="10" t="s">
        <v>32</v>
      </c>
      <c r="C16" s="11">
        <f>(1)*(1)*(1)*(1)*(1 + (0))</f>
        <v>1</v>
      </c>
      <c r="D16" s="11" t="s">
        <v>33</v>
      </c>
      <c r="E16" s="11"/>
      <c r="F16" s="11" t="s">
        <v>161</v>
      </c>
    </row>
    <row r="17" spans="1:6" ht="31.5" x14ac:dyDescent="0.25">
      <c r="A17" s="6"/>
      <c r="B17" s="7" t="s">
        <v>34</v>
      </c>
      <c r="C17" s="8"/>
      <c r="D17" s="8"/>
      <c r="E17" s="8"/>
      <c r="F17" s="8"/>
    </row>
    <row r="18" spans="1:6" x14ac:dyDescent="0.25">
      <c r="A18" s="9" t="s">
        <v>35</v>
      </c>
      <c r="B18" s="10" t="s">
        <v>36</v>
      </c>
      <c r="C18" s="11">
        <f>(1)*(1)*(1)*(1)*(1 + (0))</f>
        <v>1</v>
      </c>
      <c r="D18" s="11" t="s">
        <v>10</v>
      </c>
      <c r="E18" s="11">
        <v>51300</v>
      </c>
      <c r="F18" s="11">
        <f>C18*E18</f>
        <v>51300</v>
      </c>
    </row>
    <row r="19" spans="1:6" x14ac:dyDescent="0.25">
      <c r="A19" s="15"/>
      <c r="B19" s="16" t="s">
        <v>37</v>
      </c>
      <c r="C19" s="17"/>
      <c r="D19" s="17"/>
      <c r="E19" s="17"/>
      <c r="F19" s="17"/>
    </row>
    <row r="20" spans="1:6" x14ac:dyDescent="0.25">
      <c r="A20" s="9" t="s">
        <v>38</v>
      </c>
      <c r="B20" s="10" t="s">
        <v>39</v>
      </c>
      <c r="C20" s="11">
        <f>(951)*(1)*(1)*(1)*(1 + (0))</f>
        <v>951</v>
      </c>
      <c r="D20" s="11" t="s">
        <v>40</v>
      </c>
      <c r="E20" s="11">
        <v>9.75</v>
      </c>
      <c r="F20" s="11">
        <f>C20*E20</f>
        <v>9272.25</v>
      </c>
    </row>
    <row r="21" spans="1:6" x14ac:dyDescent="0.25">
      <c r="A21" s="9" t="s">
        <v>41</v>
      </c>
      <c r="B21" s="10" t="s">
        <v>42</v>
      </c>
      <c r="C21" s="11">
        <f>(1525)*(1)*(1)*(1)*(1 + (0))</f>
        <v>1525</v>
      </c>
      <c r="D21" s="11" t="s">
        <v>40</v>
      </c>
      <c r="E21" s="11">
        <v>10.25</v>
      </c>
      <c r="F21" s="11">
        <f>C21*E21</f>
        <v>15631.25</v>
      </c>
    </row>
    <row r="22" spans="1:6" x14ac:dyDescent="0.25">
      <c r="A22" s="15"/>
      <c r="B22" s="16" t="s">
        <v>43</v>
      </c>
      <c r="C22" s="17"/>
      <c r="D22" s="17"/>
      <c r="E22" s="17"/>
      <c r="F22" s="17"/>
    </row>
    <row r="23" spans="1:6" x14ac:dyDescent="0.25">
      <c r="A23" s="9" t="s">
        <v>44</v>
      </c>
      <c r="B23" s="10" t="s">
        <v>42</v>
      </c>
      <c r="C23" s="11">
        <f>(3828)*(1)*(1)*(1)*(1 + (0))</f>
        <v>3828</v>
      </c>
      <c r="D23" s="11" t="s">
        <v>40</v>
      </c>
      <c r="E23" s="11">
        <v>21.5</v>
      </c>
      <c r="F23" s="11">
        <f>C23*E23</f>
        <v>82302</v>
      </c>
    </row>
    <row r="24" spans="1:6" x14ac:dyDescent="0.25">
      <c r="A24" s="9" t="s">
        <v>45</v>
      </c>
      <c r="B24" s="10" t="s">
        <v>46</v>
      </c>
      <c r="C24" s="11">
        <f>(2701)*(1)*(1)*(1)*(1 + (0))</f>
        <v>2701</v>
      </c>
      <c r="D24" s="11" t="s">
        <v>40</v>
      </c>
      <c r="E24" s="11">
        <v>21.25</v>
      </c>
      <c r="F24" s="11">
        <f>C24*E24</f>
        <v>57396.25</v>
      </c>
    </row>
    <row r="25" spans="1:6" x14ac:dyDescent="0.25">
      <c r="A25" s="9" t="s">
        <v>47</v>
      </c>
      <c r="B25" s="10" t="s">
        <v>48</v>
      </c>
      <c r="C25" s="11">
        <f>(1496)*(1)*(1)*(1)*(1 + (0))</f>
        <v>1496</v>
      </c>
      <c r="D25" s="11" t="s">
        <v>40</v>
      </c>
      <c r="E25" s="11">
        <v>21</v>
      </c>
      <c r="F25" s="11">
        <f>C25*E25</f>
        <v>31416</v>
      </c>
    </row>
    <row r="26" spans="1:6" ht="30" x14ac:dyDescent="0.25">
      <c r="A26" s="15"/>
      <c r="B26" s="16" t="s">
        <v>49</v>
      </c>
      <c r="C26" s="17"/>
      <c r="D26" s="17"/>
      <c r="E26" s="17"/>
      <c r="F26" s="17"/>
    </row>
    <row r="27" spans="1:6" x14ac:dyDescent="0.25">
      <c r="A27" s="9" t="s">
        <v>50</v>
      </c>
      <c r="B27" s="10" t="s">
        <v>51</v>
      </c>
      <c r="C27" s="11">
        <f>(20)*(1)*(1)*(1)*(1 + (0))</f>
        <v>20</v>
      </c>
      <c r="D27" s="11" t="s">
        <v>40</v>
      </c>
      <c r="E27" s="11">
        <v>25.75</v>
      </c>
      <c r="F27" s="11">
        <f>C27*E27</f>
        <v>515</v>
      </c>
    </row>
    <row r="28" spans="1:6" x14ac:dyDescent="0.25">
      <c r="A28" s="9" t="s">
        <v>52</v>
      </c>
      <c r="B28" s="10" t="s">
        <v>53</v>
      </c>
      <c r="C28" s="11">
        <f>(212)*(1)*(1)*(1)*(1 + (0))</f>
        <v>212</v>
      </c>
      <c r="D28" s="11" t="s">
        <v>40</v>
      </c>
      <c r="E28" s="11">
        <v>26.5</v>
      </c>
      <c r="F28" s="11">
        <f>C28*E28</f>
        <v>5618</v>
      </c>
    </row>
    <row r="29" spans="1:6" x14ac:dyDescent="0.25">
      <c r="A29" s="9" t="s">
        <v>54</v>
      </c>
      <c r="B29" s="10" t="s">
        <v>55</v>
      </c>
      <c r="C29" s="11">
        <f>(364)*(1)*(1)*(1)*(1 + (0))</f>
        <v>364</v>
      </c>
      <c r="D29" s="11" t="s">
        <v>40</v>
      </c>
      <c r="E29" s="11">
        <v>26.5</v>
      </c>
      <c r="F29" s="11">
        <f>C29*E29</f>
        <v>9646</v>
      </c>
    </row>
    <row r="30" spans="1:6" x14ac:dyDescent="0.25">
      <c r="A30" s="9" t="s">
        <v>56</v>
      </c>
      <c r="B30" s="10" t="s">
        <v>57</v>
      </c>
      <c r="C30" s="11">
        <f>(154)*(1)*(1)*(1)*(1 + (0))</f>
        <v>154</v>
      </c>
      <c r="D30" s="11" t="s">
        <v>40</v>
      </c>
      <c r="E30" s="11">
        <v>26.75</v>
      </c>
      <c r="F30" s="11">
        <f>C30*E30</f>
        <v>4119.5</v>
      </c>
    </row>
    <row r="31" spans="1:6" ht="30" x14ac:dyDescent="0.25">
      <c r="A31" s="15"/>
      <c r="B31" s="16" t="s">
        <v>58</v>
      </c>
      <c r="C31" s="17"/>
      <c r="D31" s="17"/>
      <c r="E31" s="17"/>
      <c r="F31" s="17"/>
    </row>
    <row r="32" spans="1:6" x14ac:dyDescent="0.25">
      <c r="A32" s="9" t="s">
        <v>59</v>
      </c>
      <c r="B32" s="10" t="s">
        <v>51</v>
      </c>
      <c r="C32" s="11">
        <f>(108)*(1)*(1)*(1)*(1 + (0))</f>
        <v>108</v>
      </c>
      <c r="D32" s="11" t="s">
        <v>40</v>
      </c>
      <c r="E32" s="11">
        <v>33.5</v>
      </c>
      <c r="F32" s="11">
        <f>C32*E32</f>
        <v>3618</v>
      </c>
    </row>
    <row r="33" spans="1:6" x14ac:dyDescent="0.25">
      <c r="A33" s="9" t="s">
        <v>60</v>
      </c>
      <c r="B33" s="10" t="s">
        <v>53</v>
      </c>
      <c r="C33" s="11">
        <f>(300)*(1)*(1)*(1)*(1 + (0))</f>
        <v>300</v>
      </c>
      <c r="D33" s="11" t="s">
        <v>40</v>
      </c>
      <c r="E33" s="11">
        <v>34.5</v>
      </c>
      <c r="F33" s="11">
        <f>C33*E33</f>
        <v>10350</v>
      </c>
    </row>
    <row r="34" spans="1:6" x14ac:dyDescent="0.25">
      <c r="A34" s="9" t="s">
        <v>61</v>
      </c>
      <c r="B34" s="10" t="s">
        <v>55</v>
      </c>
      <c r="C34" s="11">
        <f>(452)*(1)*(1)*(1)*(1 + (0))</f>
        <v>452</v>
      </c>
      <c r="D34" s="11" t="s">
        <v>40</v>
      </c>
      <c r="E34" s="11">
        <v>36.5</v>
      </c>
      <c r="F34" s="11">
        <f>C34*E34</f>
        <v>16498</v>
      </c>
    </row>
    <row r="35" spans="1:6" x14ac:dyDescent="0.25">
      <c r="A35" s="9" t="s">
        <v>62</v>
      </c>
      <c r="B35" s="10" t="s">
        <v>57</v>
      </c>
      <c r="C35" s="11">
        <f>(242)*(1)*(1)*(1)*(1 + (0))</f>
        <v>242</v>
      </c>
      <c r="D35" s="11" t="s">
        <v>40</v>
      </c>
      <c r="E35" s="11">
        <v>36.5</v>
      </c>
      <c r="F35" s="11">
        <f>C35*E35</f>
        <v>8833</v>
      </c>
    </row>
    <row r="36" spans="1:6" ht="30" x14ac:dyDescent="0.25">
      <c r="A36" s="15"/>
      <c r="B36" s="16" t="s">
        <v>63</v>
      </c>
      <c r="C36" s="17"/>
      <c r="D36" s="17"/>
      <c r="E36" s="17"/>
      <c r="F36" s="17"/>
    </row>
    <row r="37" spans="1:6" x14ac:dyDescent="0.25">
      <c r="A37" s="9" t="s">
        <v>64</v>
      </c>
      <c r="B37" s="10" t="s">
        <v>39</v>
      </c>
      <c r="C37" s="11">
        <f>(951)*(1)*(1)*(1)*(1 + (0))</f>
        <v>951</v>
      </c>
      <c r="D37" s="11" t="s">
        <v>40</v>
      </c>
      <c r="E37" s="11">
        <v>22.25</v>
      </c>
      <c r="F37" s="11">
        <f>C37*E37</f>
        <v>21159.75</v>
      </c>
    </row>
    <row r="38" spans="1:6" ht="30" x14ac:dyDescent="0.25">
      <c r="A38" s="9" t="s">
        <v>65</v>
      </c>
      <c r="B38" s="10" t="s">
        <v>66</v>
      </c>
      <c r="C38" s="11">
        <f>(1000)*(1)*(1)*(1)*(1 + (0))</f>
        <v>1000</v>
      </c>
      <c r="D38" s="11" t="s">
        <v>40</v>
      </c>
      <c r="E38" s="11">
        <v>23.75</v>
      </c>
      <c r="F38" s="11">
        <f>C38*E38</f>
        <v>23750</v>
      </c>
    </row>
    <row r="39" spans="1:6" x14ac:dyDescent="0.25">
      <c r="A39" s="9" t="s">
        <v>67</v>
      </c>
      <c r="B39" s="10" t="s">
        <v>68</v>
      </c>
      <c r="C39" s="11">
        <f>(1723)*(1)*(1)*(1)*(1 + (0))</f>
        <v>1723</v>
      </c>
      <c r="D39" s="11" t="s">
        <v>69</v>
      </c>
      <c r="E39" s="11">
        <v>6.5</v>
      </c>
      <c r="F39" s="11">
        <f>C39*E39</f>
        <v>11199.5</v>
      </c>
    </row>
    <row r="40" spans="1:6" x14ac:dyDescent="0.25">
      <c r="A40" s="15"/>
      <c r="B40" s="16" t="s">
        <v>70</v>
      </c>
      <c r="C40" s="17"/>
      <c r="D40" s="17"/>
      <c r="E40" s="17"/>
      <c r="F40" s="17"/>
    </row>
    <row r="41" spans="1:6" x14ac:dyDescent="0.25">
      <c r="A41" s="9" t="s">
        <v>71</v>
      </c>
      <c r="B41" s="10" t="s">
        <v>72</v>
      </c>
      <c r="C41" s="11">
        <f>(2054)*(1)*(1)*(1)*(1 + (0))</f>
        <v>2054</v>
      </c>
      <c r="D41" s="11" t="s">
        <v>30</v>
      </c>
      <c r="E41" s="11">
        <v>7.75</v>
      </c>
      <c r="F41" s="11">
        <f>C41*E41</f>
        <v>15918.5</v>
      </c>
    </row>
    <row r="42" spans="1:6" x14ac:dyDescent="0.25">
      <c r="A42" s="9" t="s">
        <v>73</v>
      </c>
      <c r="B42" s="10" t="s">
        <v>74</v>
      </c>
      <c r="C42" s="11">
        <f>(1723)*(1)*(1)*(1)*(1 + (0))</f>
        <v>1723</v>
      </c>
      <c r="D42" s="11" t="s">
        <v>69</v>
      </c>
      <c r="E42" s="11">
        <v>6.25</v>
      </c>
      <c r="F42" s="11">
        <f>C42*E42</f>
        <v>10768.75</v>
      </c>
    </row>
    <row r="43" spans="1:6" ht="15.75" x14ac:dyDescent="0.25">
      <c r="A43" s="6"/>
      <c r="B43" s="7" t="s">
        <v>75</v>
      </c>
      <c r="C43" s="8"/>
      <c r="D43" s="8"/>
      <c r="E43" s="8"/>
      <c r="F43" s="8"/>
    </row>
    <row r="44" spans="1:6" x14ac:dyDescent="0.25">
      <c r="A44" s="15"/>
      <c r="B44" s="16" t="s">
        <v>76</v>
      </c>
      <c r="C44" s="17"/>
      <c r="D44" s="17"/>
      <c r="E44" s="17"/>
      <c r="F44" s="17"/>
    </row>
    <row r="45" spans="1:6" x14ac:dyDescent="0.25">
      <c r="A45" s="9" t="s">
        <v>77</v>
      </c>
      <c r="B45" s="10" t="s">
        <v>78</v>
      </c>
      <c r="C45" s="11">
        <f>(47)*(1)*(1)*(1)*(1 + (0))</f>
        <v>47</v>
      </c>
      <c r="D45" s="11" t="s">
        <v>69</v>
      </c>
      <c r="E45" s="11">
        <v>72.5</v>
      </c>
      <c r="F45" s="11">
        <f>C45*E45</f>
        <v>3407.5</v>
      </c>
    </row>
    <row r="46" spans="1:6" x14ac:dyDescent="0.25">
      <c r="A46" s="9" t="s">
        <v>79</v>
      </c>
      <c r="B46" s="10" t="s">
        <v>80</v>
      </c>
      <c r="C46" s="11">
        <f>(118.8)*(1)*(1)*(1)*(1 + (0))</f>
        <v>118.8</v>
      </c>
      <c r="D46" s="11" t="s">
        <v>69</v>
      </c>
      <c r="E46" s="11">
        <v>72.5</v>
      </c>
      <c r="F46" s="11">
        <f>C46*E46</f>
        <v>8613</v>
      </c>
    </row>
    <row r="47" spans="1:6" x14ac:dyDescent="0.25">
      <c r="A47" s="15"/>
      <c r="B47" s="16" t="s">
        <v>81</v>
      </c>
      <c r="C47" s="17"/>
      <c r="D47" s="17"/>
      <c r="E47" s="17"/>
      <c r="F47" s="17"/>
    </row>
    <row r="48" spans="1:6" x14ac:dyDescent="0.25">
      <c r="A48" s="9" t="s">
        <v>82</v>
      </c>
      <c r="B48" s="10" t="s">
        <v>78</v>
      </c>
      <c r="C48" s="11">
        <f>(59)*(1)*(1)*(1)*(1 + (0))</f>
        <v>59</v>
      </c>
      <c r="D48" s="11" t="s">
        <v>83</v>
      </c>
      <c r="E48" s="11">
        <v>10</v>
      </c>
      <c r="F48" s="11">
        <f>C48*E48</f>
        <v>590</v>
      </c>
    </row>
    <row r="49" spans="1:6" x14ac:dyDescent="0.25">
      <c r="A49" s="9" t="s">
        <v>84</v>
      </c>
      <c r="B49" s="10" t="s">
        <v>85</v>
      </c>
      <c r="C49" s="11">
        <f>(198)*(1)*(1)*(1)*(1 + (0))</f>
        <v>198</v>
      </c>
      <c r="D49" s="11" t="s">
        <v>83</v>
      </c>
      <c r="E49" s="11">
        <v>10</v>
      </c>
      <c r="F49" s="11">
        <f>C49*E49</f>
        <v>1980</v>
      </c>
    </row>
    <row r="50" spans="1:6" ht="18.75" x14ac:dyDescent="0.25">
      <c r="A50" s="3"/>
      <c r="B50" s="4" t="s">
        <v>86</v>
      </c>
      <c r="C50" s="5"/>
      <c r="D50" s="5"/>
      <c r="E50" s="5"/>
      <c r="F50" s="5"/>
    </row>
    <row r="51" spans="1:6" ht="15.75" x14ac:dyDescent="0.25">
      <c r="A51" s="6"/>
      <c r="B51" s="7" t="s">
        <v>87</v>
      </c>
      <c r="C51" s="8"/>
      <c r="D51" s="8"/>
      <c r="E51" s="8"/>
      <c r="F51" s="8"/>
    </row>
    <row r="52" spans="1:6" x14ac:dyDescent="0.25">
      <c r="A52" s="15"/>
      <c r="B52" s="16" t="s">
        <v>88</v>
      </c>
      <c r="C52" s="17"/>
      <c r="D52" s="17"/>
      <c r="E52" s="17"/>
      <c r="F52" s="17"/>
    </row>
    <row r="53" spans="1:6" x14ac:dyDescent="0.25">
      <c r="A53" s="9" t="s">
        <v>89</v>
      </c>
      <c r="B53" s="10" t="s">
        <v>90</v>
      </c>
      <c r="C53" s="11">
        <f>(1)*(1)*(1)*(1)*(1 + (0))</f>
        <v>1</v>
      </c>
      <c r="D53" s="11" t="s">
        <v>10</v>
      </c>
      <c r="E53" s="11"/>
      <c r="F53" s="11" t="s">
        <v>161</v>
      </c>
    </row>
    <row r="54" spans="1:6" x14ac:dyDescent="0.25">
      <c r="A54" s="9" t="s">
        <v>91</v>
      </c>
      <c r="B54" s="10" t="s">
        <v>92</v>
      </c>
      <c r="C54" s="11">
        <f>(1)*(1)*(1)*(1)*(1 + (0))</f>
        <v>1</v>
      </c>
      <c r="D54" s="11" t="s">
        <v>10</v>
      </c>
      <c r="E54" s="11"/>
      <c r="F54" s="11" t="s">
        <v>161</v>
      </c>
    </row>
    <row r="55" spans="1:6" ht="30" x14ac:dyDescent="0.25">
      <c r="A55" s="9" t="s">
        <v>93</v>
      </c>
      <c r="B55" s="10" t="s">
        <v>94</v>
      </c>
      <c r="C55" s="11">
        <f>(12)*(1)*(1)*(1)*(1 + (0))</f>
        <v>12</v>
      </c>
      <c r="D55" s="11" t="s">
        <v>83</v>
      </c>
      <c r="E55" s="11"/>
      <c r="F55" s="11" t="s">
        <v>161</v>
      </c>
    </row>
    <row r="56" spans="1:6" x14ac:dyDescent="0.25">
      <c r="A56" s="9" t="s">
        <v>95</v>
      </c>
      <c r="B56" s="10" t="s">
        <v>96</v>
      </c>
      <c r="C56" s="11">
        <f>(26)*(1)*(1)*(1)*(1 + (0))</f>
        <v>26</v>
      </c>
      <c r="D56" s="11" t="s">
        <v>83</v>
      </c>
      <c r="E56" s="11"/>
      <c r="F56" s="11" t="s">
        <v>161</v>
      </c>
    </row>
    <row r="57" spans="1:6" x14ac:dyDescent="0.25">
      <c r="A57" s="15"/>
      <c r="B57" s="16" t="s">
        <v>97</v>
      </c>
      <c r="C57" s="17"/>
      <c r="D57" s="17"/>
      <c r="E57" s="17"/>
      <c r="F57" s="17"/>
    </row>
    <row r="58" spans="1:6" x14ac:dyDescent="0.25">
      <c r="A58" s="18"/>
      <c r="B58" s="19" t="s">
        <v>98</v>
      </c>
      <c r="C58" s="20"/>
      <c r="D58" s="20"/>
      <c r="E58" s="20"/>
      <c r="F58" s="20"/>
    </row>
    <row r="59" spans="1:6" ht="45" x14ac:dyDescent="0.25">
      <c r="A59" s="9" t="s">
        <v>99</v>
      </c>
      <c r="B59" s="10" t="s">
        <v>100</v>
      </c>
      <c r="C59" s="11">
        <f t="shared" ref="C59:C64" si="2">(1)*(1)*(1)*(1)*(1 + (0))</f>
        <v>1</v>
      </c>
      <c r="D59" s="11" t="s">
        <v>101</v>
      </c>
      <c r="E59" s="11">
        <v>5550</v>
      </c>
      <c r="F59" s="11">
        <f t="shared" ref="F59:F64" si="3">C59*E59</f>
        <v>5550</v>
      </c>
    </row>
    <row r="60" spans="1:6" ht="30" x14ac:dyDescent="0.25">
      <c r="A60" s="9" t="s">
        <v>102</v>
      </c>
      <c r="B60" s="10" t="s">
        <v>103</v>
      </c>
      <c r="C60" s="11">
        <f t="shared" si="2"/>
        <v>1</v>
      </c>
      <c r="D60" s="11" t="s">
        <v>101</v>
      </c>
      <c r="E60" s="11">
        <v>5550</v>
      </c>
      <c r="F60" s="11">
        <f t="shared" si="3"/>
        <v>5550</v>
      </c>
    </row>
    <row r="61" spans="1:6" ht="30" x14ac:dyDescent="0.25">
      <c r="A61" s="9" t="s">
        <v>104</v>
      </c>
      <c r="B61" s="10" t="s">
        <v>105</v>
      </c>
      <c r="C61" s="11">
        <f t="shared" si="2"/>
        <v>1</v>
      </c>
      <c r="D61" s="11" t="s">
        <v>101</v>
      </c>
      <c r="E61" s="11">
        <v>7300</v>
      </c>
      <c r="F61" s="11">
        <f t="shared" si="3"/>
        <v>7300</v>
      </c>
    </row>
    <row r="62" spans="1:6" ht="45" x14ac:dyDescent="0.25">
      <c r="A62" s="9" t="s">
        <v>106</v>
      </c>
      <c r="B62" s="10" t="s">
        <v>107</v>
      </c>
      <c r="C62" s="11">
        <f t="shared" si="2"/>
        <v>1</v>
      </c>
      <c r="D62" s="11" t="s">
        <v>101</v>
      </c>
      <c r="E62" s="11">
        <v>7660</v>
      </c>
      <c r="F62" s="11">
        <f t="shared" si="3"/>
        <v>7660</v>
      </c>
    </row>
    <row r="63" spans="1:6" ht="30" x14ac:dyDescent="0.25">
      <c r="A63" s="9" t="s">
        <v>108</v>
      </c>
      <c r="B63" s="10" t="s">
        <v>109</v>
      </c>
      <c r="C63" s="11">
        <f t="shared" si="2"/>
        <v>1</v>
      </c>
      <c r="D63" s="11" t="s">
        <v>101</v>
      </c>
      <c r="E63" s="11">
        <v>88400</v>
      </c>
      <c r="F63" s="11">
        <f t="shared" si="3"/>
        <v>88400</v>
      </c>
    </row>
    <row r="64" spans="1:6" ht="30" x14ac:dyDescent="0.25">
      <c r="A64" s="12" t="s">
        <v>158</v>
      </c>
      <c r="B64" s="13" t="s">
        <v>162</v>
      </c>
      <c r="C64" s="14">
        <f t="shared" si="2"/>
        <v>1</v>
      </c>
      <c r="D64" s="14" t="s">
        <v>101</v>
      </c>
      <c r="E64" s="14">
        <v>45000</v>
      </c>
      <c r="F64" s="14">
        <f t="shared" si="3"/>
        <v>45000</v>
      </c>
    </row>
    <row r="65" spans="1:6" x14ac:dyDescent="0.25">
      <c r="A65" s="18"/>
      <c r="B65" s="19" t="s">
        <v>110</v>
      </c>
      <c r="C65" s="20"/>
      <c r="D65" s="20"/>
      <c r="E65" s="20"/>
      <c r="F65" s="20"/>
    </row>
    <row r="66" spans="1:6" ht="30" x14ac:dyDescent="0.25">
      <c r="A66" s="9" t="s">
        <v>111</v>
      </c>
      <c r="B66" s="10" t="s">
        <v>112</v>
      </c>
      <c r="C66" s="11">
        <f>(1)*(1)*(1)*(1)*(1 + (0))</f>
        <v>1</v>
      </c>
      <c r="D66" s="11" t="s">
        <v>101</v>
      </c>
      <c r="E66" s="11">
        <v>12150</v>
      </c>
      <c r="F66" s="11">
        <f>C66*E66</f>
        <v>12150</v>
      </c>
    </row>
    <row r="67" spans="1:6" ht="30" x14ac:dyDescent="0.25">
      <c r="A67" s="18"/>
      <c r="B67" s="19" t="s">
        <v>113</v>
      </c>
      <c r="C67" s="20"/>
      <c r="D67" s="20"/>
      <c r="E67" s="20"/>
      <c r="F67" s="20"/>
    </row>
    <row r="68" spans="1:6" x14ac:dyDescent="0.25">
      <c r="A68" s="9" t="s">
        <v>114</v>
      </c>
      <c r="B68" s="10" t="s">
        <v>115</v>
      </c>
      <c r="C68" s="11">
        <f>(58)*(1)*(1)*(1)*(1 + (0))</f>
        <v>58</v>
      </c>
      <c r="D68" s="11" t="s">
        <v>83</v>
      </c>
      <c r="E68" s="11">
        <v>158</v>
      </c>
      <c r="F68" s="11">
        <f t="shared" ref="F68:F74" si="4">C68*E68</f>
        <v>9164</v>
      </c>
    </row>
    <row r="69" spans="1:6" x14ac:dyDescent="0.25">
      <c r="A69" s="9" t="s">
        <v>116</v>
      </c>
      <c r="B69" s="10" t="s">
        <v>117</v>
      </c>
      <c r="C69" s="11">
        <f>(80)*(1)*(1)*(1)*(1 + (0))</f>
        <v>80</v>
      </c>
      <c r="D69" s="11" t="s">
        <v>83</v>
      </c>
      <c r="E69" s="11">
        <v>215</v>
      </c>
      <c r="F69" s="11">
        <f t="shared" si="4"/>
        <v>17200</v>
      </c>
    </row>
    <row r="70" spans="1:6" x14ac:dyDescent="0.25">
      <c r="A70" s="9" t="s">
        <v>118</v>
      </c>
      <c r="B70" s="10" t="s">
        <v>119</v>
      </c>
      <c r="C70" s="11">
        <f>(52)*(1)*(1)*(1)*(1 + (0))</f>
        <v>52</v>
      </c>
      <c r="D70" s="11" t="s">
        <v>83</v>
      </c>
      <c r="E70" s="11">
        <v>230</v>
      </c>
      <c r="F70" s="11">
        <f t="shared" si="4"/>
        <v>11960</v>
      </c>
    </row>
    <row r="71" spans="1:6" x14ac:dyDescent="0.25">
      <c r="A71" s="9" t="s">
        <v>120</v>
      </c>
      <c r="B71" s="10" t="s">
        <v>121</v>
      </c>
      <c r="C71" s="11">
        <f>(2)*(1)*(1)*(1)*(1 + (0))</f>
        <v>2</v>
      </c>
      <c r="D71" s="11" t="s">
        <v>83</v>
      </c>
      <c r="E71" s="11">
        <v>940</v>
      </c>
      <c r="F71" s="11">
        <f t="shared" si="4"/>
        <v>1880</v>
      </c>
    </row>
    <row r="72" spans="1:6" x14ac:dyDescent="0.25">
      <c r="A72" s="9" t="s">
        <v>122</v>
      </c>
      <c r="B72" s="10" t="s">
        <v>123</v>
      </c>
      <c r="C72" s="11">
        <f>(5)*(1)*(1)*(1)*(1 + (0))</f>
        <v>5</v>
      </c>
      <c r="D72" s="11" t="s">
        <v>83</v>
      </c>
      <c r="E72" s="11">
        <v>1135</v>
      </c>
      <c r="F72" s="11">
        <f t="shared" si="4"/>
        <v>5675</v>
      </c>
    </row>
    <row r="73" spans="1:6" x14ac:dyDescent="0.25">
      <c r="A73" s="9" t="s">
        <v>124</v>
      </c>
      <c r="B73" s="10" t="s">
        <v>125</v>
      </c>
      <c r="C73" s="11">
        <f>(34)*(1)*(1)*(1)*(1 + (0))</f>
        <v>34</v>
      </c>
      <c r="D73" s="11" t="s">
        <v>83</v>
      </c>
      <c r="E73" s="11">
        <v>245</v>
      </c>
      <c r="F73" s="11">
        <f t="shared" si="4"/>
        <v>8330</v>
      </c>
    </row>
    <row r="74" spans="1:6" x14ac:dyDescent="0.25">
      <c r="A74" s="9" t="s">
        <v>126</v>
      </c>
      <c r="B74" s="10" t="s">
        <v>127</v>
      </c>
      <c r="C74" s="11">
        <f>(2)*(1)*(1)*(1)*(1 + (0))</f>
        <v>2</v>
      </c>
      <c r="D74" s="11" t="s">
        <v>101</v>
      </c>
      <c r="E74" s="11">
        <v>610</v>
      </c>
      <c r="F74" s="11">
        <f t="shared" si="4"/>
        <v>1220</v>
      </c>
    </row>
    <row r="75" spans="1:6" ht="18.75" x14ac:dyDescent="0.25">
      <c r="A75" s="3"/>
      <c r="B75" s="4" t="s">
        <v>128</v>
      </c>
      <c r="C75" s="5"/>
      <c r="D75" s="5"/>
      <c r="E75" s="5"/>
      <c r="F75" s="5"/>
    </row>
    <row r="76" spans="1:6" ht="15.75" x14ac:dyDescent="0.25">
      <c r="A76" s="6"/>
      <c r="B76" s="7" t="s">
        <v>129</v>
      </c>
      <c r="C76" s="8"/>
      <c r="D76" s="8"/>
      <c r="E76" s="8"/>
      <c r="F76" s="8"/>
    </row>
    <row r="77" spans="1:6" x14ac:dyDescent="0.25">
      <c r="A77" s="9" t="s">
        <v>130</v>
      </c>
      <c r="B77" s="10" t="s">
        <v>131</v>
      </c>
      <c r="C77" s="11">
        <f>(573)*(1)*(1)*(1)*(1 + (0))</f>
        <v>573</v>
      </c>
      <c r="D77" s="11" t="s">
        <v>69</v>
      </c>
      <c r="E77" s="11">
        <v>123</v>
      </c>
      <c r="F77" s="11">
        <f t="shared" ref="F77:F82" si="5">C77*E77</f>
        <v>70479</v>
      </c>
    </row>
    <row r="78" spans="1:6" x14ac:dyDescent="0.25">
      <c r="A78" s="9" t="s">
        <v>132</v>
      </c>
      <c r="B78" s="10" t="s">
        <v>133</v>
      </c>
      <c r="C78" s="11">
        <f>(337)*(1)*(1)*(1)*(1 + (0))</f>
        <v>337</v>
      </c>
      <c r="D78" s="11" t="s">
        <v>69</v>
      </c>
      <c r="E78" s="11">
        <v>109</v>
      </c>
      <c r="F78" s="11">
        <f t="shared" si="5"/>
        <v>36733</v>
      </c>
    </row>
    <row r="79" spans="1:6" x14ac:dyDescent="0.25">
      <c r="A79" s="9" t="s">
        <v>134</v>
      </c>
      <c r="B79" s="10" t="s">
        <v>135</v>
      </c>
      <c r="C79" s="11">
        <f>(105)*(1)*(1)*(1)*(1 + (0))</f>
        <v>105</v>
      </c>
      <c r="D79" s="11" t="s">
        <v>69</v>
      </c>
      <c r="E79" s="11">
        <v>146</v>
      </c>
      <c r="F79" s="11">
        <f t="shared" si="5"/>
        <v>15330</v>
      </c>
    </row>
    <row r="80" spans="1:6" x14ac:dyDescent="0.25">
      <c r="A80" s="9" t="s">
        <v>136</v>
      </c>
      <c r="B80" s="10" t="s">
        <v>137</v>
      </c>
      <c r="C80" s="11">
        <f>(11)*(1)*(1)*(1)*(1 + (0))</f>
        <v>11</v>
      </c>
      <c r="D80" s="11" t="s">
        <v>69</v>
      </c>
      <c r="E80" s="11">
        <v>122</v>
      </c>
      <c r="F80" s="11">
        <f t="shared" si="5"/>
        <v>1342</v>
      </c>
    </row>
    <row r="81" spans="1:6" x14ac:dyDescent="0.25">
      <c r="A81" s="9" t="s">
        <v>138</v>
      </c>
      <c r="B81" s="10" t="s">
        <v>139</v>
      </c>
      <c r="C81" s="11">
        <f>(124)*(1)*(1)*(1)*(1 + (0))</f>
        <v>124</v>
      </c>
      <c r="D81" s="11" t="s">
        <v>83</v>
      </c>
      <c r="E81" s="11">
        <v>148</v>
      </c>
      <c r="F81" s="11">
        <f t="shared" si="5"/>
        <v>18352</v>
      </c>
    </row>
    <row r="82" spans="1:6" x14ac:dyDescent="0.25">
      <c r="A82" s="9" t="s">
        <v>140</v>
      </c>
      <c r="B82" s="10" t="s">
        <v>141</v>
      </c>
      <c r="C82" s="11">
        <f>(6)*(1)*(1)*(1)*(1 + (0))</f>
        <v>6</v>
      </c>
      <c r="D82" s="11" t="s">
        <v>142</v>
      </c>
      <c r="E82" s="11">
        <v>1300</v>
      </c>
      <c r="F82" s="11">
        <f t="shared" si="5"/>
        <v>7800</v>
      </c>
    </row>
    <row r="83" spans="1:6" ht="15.75" x14ac:dyDescent="0.25">
      <c r="A83" s="6"/>
      <c r="B83" s="7" t="s">
        <v>143</v>
      </c>
      <c r="C83" s="8"/>
      <c r="D83" s="8"/>
      <c r="E83" s="8"/>
      <c r="F83" s="8"/>
    </row>
    <row r="84" spans="1:6" ht="30" x14ac:dyDescent="0.25">
      <c r="A84" s="9" t="s">
        <v>144</v>
      </c>
      <c r="B84" s="10" t="s">
        <v>145</v>
      </c>
      <c r="C84" s="11">
        <f>(2801)*(1)*(1)*(1)*(1 + (0))</f>
        <v>2801</v>
      </c>
      <c r="D84" s="11" t="s">
        <v>69</v>
      </c>
      <c r="E84" s="11">
        <v>98.75</v>
      </c>
      <c r="F84" s="11">
        <f>C84*E84</f>
        <v>276598.75</v>
      </c>
    </row>
    <row r="85" spans="1:6" x14ac:dyDescent="0.25">
      <c r="A85" s="9" t="s">
        <v>146</v>
      </c>
      <c r="B85" s="10" t="s">
        <v>147</v>
      </c>
      <c r="C85" s="11">
        <f>(72)*(1)*(1)*(1)*(1 + (0))</f>
        <v>72</v>
      </c>
      <c r="D85" s="11" t="s">
        <v>83</v>
      </c>
      <c r="E85" s="11">
        <v>256.25</v>
      </c>
      <c r="F85" s="11">
        <f>C85*E85</f>
        <v>18450</v>
      </c>
    </row>
    <row r="86" spans="1:6" ht="15.75" x14ac:dyDescent="0.25">
      <c r="A86" s="6"/>
      <c r="B86" s="7" t="s">
        <v>148</v>
      </c>
      <c r="C86" s="8"/>
      <c r="D86" s="8"/>
      <c r="E86" s="8"/>
      <c r="F86" s="8"/>
    </row>
    <row r="87" spans="1:6" x14ac:dyDescent="0.25">
      <c r="A87" s="9" t="s">
        <v>149</v>
      </c>
      <c r="B87" s="10" t="s">
        <v>150</v>
      </c>
      <c r="C87" s="11">
        <f>(298)*(1)*(1)*(1)*(1 + (0))</f>
        <v>298</v>
      </c>
      <c r="D87" s="11" t="s">
        <v>83</v>
      </c>
      <c r="E87" s="11">
        <v>97</v>
      </c>
      <c r="F87" s="11">
        <f>C87*E87</f>
        <v>28906</v>
      </c>
    </row>
    <row r="88" spans="1:6" x14ac:dyDescent="0.25">
      <c r="A88" s="9" t="s">
        <v>151</v>
      </c>
      <c r="B88" s="10" t="s">
        <v>152</v>
      </c>
      <c r="C88" s="11">
        <f>(66)*(1)*(1)*(1)*(1 + (0))</f>
        <v>66</v>
      </c>
      <c r="D88" s="11" t="s">
        <v>83</v>
      </c>
      <c r="E88" s="11">
        <v>86</v>
      </c>
      <c r="F88" s="11">
        <f>C88*E88</f>
        <v>5676</v>
      </c>
    </row>
    <row r="89" spans="1:6" ht="30" x14ac:dyDescent="0.25">
      <c r="A89" s="9" t="s">
        <v>153</v>
      </c>
      <c r="B89" s="10" t="s">
        <v>154</v>
      </c>
      <c r="C89" s="11">
        <f>(245)*(1)*(1)*(1)*(1 + (0))</f>
        <v>245</v>
      </c>
      <c r="D89" s="11" t="s">
        <v>83</v>
      </c>
      <c r="E89" s="11">
        <v>184</v>
      </c>
      <c r="F89" s="11">
        <f>C89*E89</f>
        <v>45080</v>
      </c>
    </row>
    <row r="90" spans="1:6" ht="17.25" x14ac:dyDescent="0.25">
      <c r="A90" s="21" t="s">
        <v>155</v>
      </c>
      <c r="B90" s="21"/>
      <c r="C90" s="21"/>
      <c r="D90" s="21"/>
      <c r="E90" s="21"/>
      <c r="F90" s="21">
        <f>(SUM(F2:F89))</f>
        <v>1228888</v>
      </c>
    </row>
    <row r="91" spans="1:6" ht="17.25" x14ac:dyDescent="0.25">
      <c r="A91" s="21" t="s">
        <v>156</v>
      </c>
      <c r="B91" s="21"/>
      <c r="C91" s="21"/>
      <c r="D91" s="21"/>
      <c r="E91" s="21"/>
      <c r="F91" s="21">
        <v>0</v>
      </c>
    </row>
    <row r="92" spans="1:6" ht="17.25" x14ac:dyDescent="0.25">
      <c r="A92" s="21" t="s">
        <v>157</v>
      </c>
      <c r="B92" s="21"/>
      <c r="C92" s="21"/>
      <c r="D92" s="21"/>
      <c r="E92" s="21"/>
      <c r="F92" s="21">
        <f>0.1*(SUM(F90:F91))</f>
        <v>122888.8</v>
      </c>
    </row>
    <row r="93" spans="1:6" ht="18.75" x14ac:dyDescent="0.25">
      <c r="A93" s="22" t="s">
        <v>5</v>
      </c>
      <c r="B93" s="22"/>
      <c r="C93" s="22"/>
      <c r="D93" s="22"/>
      <c r="E93" s="22"/>
      <c r="F93" s="22">
        <f>SUM(F90:F92)</f>
        <v>1351776.8</v>
      </c>
    </row>
  </sheetData>
  <pageMargins left="0.25" right="0.25" top="0.75" bottom="0.75" header="0.3" footer="0.3"/>
  <pageSetup paperSize="9" scale="78" fitToHeight="0" orientation="portrait" r:id="rId1"/>
  <headerFooter>
    <oddHeader>&amp;LALDER CONSTRUCTIONS PTY LTD
Civil Division&amp;R&amp;D</oddHeader>
    <oddFooter>&amp;CPage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Org. BOQ-Trade Breakup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Sammy Amos</cp:lastModifiedBy>
  <cp:lastPrinted>2020-05-22T04:21:21Z</cp:lastPrinted>
  <dcterms:created xsi:type="dcterms:W3CDTF">2020-05-22T04:09:00Z</dcterms:created>
  <dcterms:modified xsi:type="dcterms:W3CDTF">2020-07-16T07:12:30Z</dcterms:modified>
</cp:coreProperties>
</file>