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Carew\Desktop\4005 - Submission\"/>
    </mc:Choice>
  </mc:AlternateContent>
  <bookViews>
    <workbookView xWindow="0" yWindow="0" windowWidth="15468" windowHeight="7020" firstSheet="2" activeTab="7"/>
  </bookViews>
  <sheets>
    <sheet name="Workings" sheetId="1" r:id="rId1"/>
    <sheet name="Q. 7" sheetId="2" r:id="rId2"/>
    <sheet name="Q. 8" sheetId="3" r:id="rId3"/>
    <sheet name="Q. 9" sheetId="4" r:id="rId4"/>
    <sheet name="Q. 11" sheetId="8" r:id="rId5"/>
    <sheet name="Q. 12" sheetId="7" r:id="rId6"/>
    <sheet name="Q. 14" sheetId="9" r:id="rId7"/>
    <sheet name="Q. 15" sheetId="10" r:id="rId8"/>
    <sheet name="Q. 19" sheetId="5" r:id="rId9"/>
    <sheet name="Q.21" sheetId="6" r:id="rId10"/>
    <sheet name="Q. 27" sheetId="11" r:id="rId11"/>
  </sheets>
  <definedNames>
    <definedName name="_Ref425168592" localSheetId="9">Q.21!$A$11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10" l="1"/>
  <c r="C157" i="11" l="1"/>
  <c r="C148" i="11"/>
  <c r="C153" i="11" s="1"/>
  <c r="C132" i="11"/>
  <c r="C139" i="11" s="1"/>
  <c r="C128" i="11"/>
  <c r="C98" i="11"/>
  <c r="C97" i="11"/>
  <c r="C93" i="11"/>
  <c r="C87" i="11"/>
  <c r="C77" i="11"/>
  <c r="C68" i="11"/>
  <c r="C37" i="11"/>
  <c r="C29" i="11"/>
  <c r="C28" i="11"/>
  <c r="C27" i="11"/>
  <c r="D28" i="10"/>
  <c r="D22" i="10"/>
  <c r="D27" i="10"/>
  <c r="D26" i="10"/>
  <c r="D25" i="10"/>
  <c r="D24" i="10"/>
  <c r="D23" i="10"/>
  <c r="D11" i="10"/>
  <c r="D4" i="10"/>
  <c r="D10" i="10"/>
  <c r="D9" i="10"/>
  <c r="D8" i="10"/>
  <c r="D7" i="10"/>
  <c r="D6" i="10"/>
  <c r="D5" i="10"/>
  <c r="D3" i="10"/>
  <c r="C30" i="11" l="1"/>
  <c r="D29" i="10"/>
  <c r="D13" i="10" l="1"/>
  <c r="D14" i="10" s="1"/>
  <c r="D16" i="10" s="1"/>
  <c r="D17" i="10" l="1"/>
  <c r="D18" i="10" s="1"/>
  <c r="D12" i="9" l="1"/>
  <c r="B35" i="2"/>
  <c r="C29" i="2"/>
  <c r="B29" i="2"/>
  <c r="D32" i="2"/>
  <c r="B15" i="2"/>
  <c r="D11" i="9"/>
  <c r="D10" i="9"/>
  <c r="D9" i="9"/>
  <c r="D8" i="9"/>
  <c r="D7" i="9"/>
  <c r="D6" i="9"/>
  <c r="D5" i="9"/>
  <c r="D4" i="9"/>
  <c r="D4" i="7" l="1"/>
  <c r="D15" i="8"/>
  <c r="D14" i="8"/>
  <c r="D13" i="8"/>
  <c r="B20" i="8"/>
  <c r="D20" i="8" s="1"/>
  <c r="B21" i="8"/>
  <c r="D21" i="8" s="1"/>
  <c r="D12" i="8"/>
  <c r="D9" i="8"/>
  <c r="D11" i="8" s="1"/>
  <c r="D8" i="8"/>
  <c r="D10" i="8"/>
  <c r="D22" i="8" l="1"/>
  <c r="D7" i="7"/>
  <c r="D8" i="7"/>
  <c r="D6" i="7"/>
  <c r="D5" i="7"/>
  <c r="D9" i="7" s="1"/>
  <c r="H33" i="4"/>
  <c r="B33" i="4"/>
  <c r="E26" i="4"/>
  <c r="H26" i="4" s="1"/>
  <c r="E25" i="4"/>
  <c r="H25" i="4" s="1"/>
  <c r="B20" i="4"/>
  <c r="E8" i="4"/>
  <c r="H8" i="4" s="1"/>
  <c r="E7" i="4"/>
  <c r="H7" i="4" s="1"/>
  <c r="E6" i="4"/>
  <c r="H6" i="4" s="1"/>
  <c r="E5" i="4"/>
  <c r="H5" i="4" s="1"/>
  <c r="E4" i="4"/>
  <c r="E9" i="4" l="1"/>
  <c r="H27" i="4"/>
  <c r="H4" i="4"/>
  <c r="H9" i="4"/>
  <c r="E27" i="4"/>
  <c r="B8" i="6"/>
  <c r="B7" i="6"/>
  <c r="B9" i="6" s="1"/>
  <c r="B6" i="6"/>
  <c r="B5" i="6"/>
  <c r="B2" i="6" l="1"/>
  <c r="B3" i="6" s="1"/>
  <c r="B4" i="6" s="1"/>
  <c r="B7" i="5"/>
  <c r="B6" i="5"/>
  <c r="B5" i="5"/>
  <c r="B4" i="5"/>
  <c r="B3" i="5"/>
  <c r="B2" i="5"/>
  <c r="B1" i="5"/>
  <c r="B8" i="5" l="1"/>
  <c r="B9" i="5" s="1"/>
  <c r="B10" i="5" s="1"/>
  <c r="B14" i="3"/>
  <c r="B13" i="3"/>
  <c r="B12" i="3"/>
  <c r="B11" i="3"/>
  <c r="B10" i="3"/>
  <c r="B9" i="3"/>
  <c r="B8" i="3"/>
  <c r="B7" i="3"/>
  <c r="B6" i="3"/>
  <c r="B5" i="3"/>
  <c r="B4" i="3"/>
  <c r="E29" i="3"/>
  <c r="E28" i="3"/>
  <c r="E27" i="3"/>
  <c r="E20" i="3"/>
  <c r="E21" i="3"/>
  <c r="E22" i="3"/>
  <c r="E23" i="3"/>
  <c r="E24" i="3"/>
  <c r="E25" i="3"/>
  <c r="E26" i="3"/>
  <c r="D26" i="3"/>
  <c r="C26" i="3"/>
  <c r="D25" i="3"/>
  <c r="C25" i="3"/>
  <c r="D24" i="3"/>
  <c r="C24" i="3"/>
  <c r="D23" i="3"/>
  <c r="C23" i="3"/>
  <c r="D22" i="3"/>
  <c r="C22" i="3"/>
  <c r="D21" i="3"/>
  <c r="C21" i="3"/>
  <c r="D20" i="3"/>
  <c r="C20" i="3"/>
  <c r="E19" i="3"/>
  <c r="D19" i="3"/>
  <c r="C19" i="3"/>
  <c r="B26" i="3"/>
  <c r="B25" i="3"/>
  <c r="B24" i="3"/>
  <c r="B23" i="3"/>
  <c r="B22" i="3"/>
  <c r="B21" i="3"/>
  <c r="B20" i="3"/>
  <c r="B19" i="3"/>
  <c r="B30" i="2" l="1"/>
  <c r="B12" i="2"/>
  <c r="B13" i="2" l="1"/>
  <c r="B14" i="2" s="1"/>
  <c r="C30" i="2"/>
  <c r="C31" i="2" s="1"/>
  <c r="B31" i="2"/>
  <c r="B23" i="1"/>
  <c r="B22" i="1"/>
  <c r="B21" i="1"/>
  <c r="B20" i="1"/>
  <c r="B19" i="1"/>
  <c r="B18" i="1"/>
  <c r="B17" i="1"/>
  <c r="B15" i="1"/>
  <c r="B16" i="1"/>
  <c r="D31" i="2" l="1"/>
</calcChain>
</file>

<file path=xl/sharedStrings.xml><?xml version="1.0" encoding="utf-8"?>
<sst xmlns="http://schemas.openxmlformats.org/spreadsheetml/2006/main" count="466" uniqueCount="337">
  <si>
    <t>Ground Floor - 12 story high rise - Exceed $15,000</t>
  </si>
  <si>
    <t>New electrical wiring for lights and power points already installed in pre-existing timber wall and ceiling framing</t>
  </si>
  <si>
    <t>Ordering Forms for Materials - Cheops PO - Email word, edit &amp; pdf</t>
  </si>
  <si>
    <t>Schedule the work and subcontractors</t>
  </si>
  <si>
    <t>Obtain quotes from subcontractors</t>
  </si>
  <si>
    <t>Construction Schedule/Program - select future start date - subcontractors start &amp; finish dates</t>
  </si>
  <si>
    <t>Draft emails to each subcontractor, pdf and save detailing 1. information needed from them 2. requesting labour only quote to be submitted and advise start and finish dates. Note: Labour only quote as builder to supply all materials and consumables excl. tools, plant, equipment</t>
  </si>
  <si>
    <t>Q. 7 - Plasterer + Carpenter</t>
  </si>
  <si>
    <t>The Project</t>
  </si>
  <si>
    <t>Commercial office project with eight (8) rooms all adjacent (side-by-side) to each other</t>
  </si>
  <si>
    <t>Room 1: 6000 x 3300</t>
  </si>
  <si>
    <t>Room 2: 3900 x 3300</t>
  </si>
  <si>
    <t>Room 3: 4000 x 3300</t>
  </si>
  <si>
    <t>Room 4: 4800 x 3300</t>
  </si>
  <si>
    <t>Room 5: 5200 x 3300</t>
  </si>
  <si>
    <t>Room 6: 7400 x 3300</t>
  </si>
  <si>
    <t>Room 7: 8000 x 3300</t>
  </si>
  <si>
    <t>Room 8: 9000 x 3300</t>
  </si>
  <si>
    <t>Carpenter</t>
  </si>
  <si>
    <t>windows to be fitted to installed load bearing timber framing</t>
  </si>
  <si>
    <t>Plasterer</t>
  </si>
  <si>
    <t>Hang doors, fit jambs, door stops, fit and attach privacy set door furniture and a door open retainer and stop</t>
  </si>
  <si>
    <t>m2</t>
  </si>
  <si>
    <t>lm</t>
  </si>
  <si>
    <t>Skirting</t>
  </si>
  <si>
    <t>Architrave</t>
  </si>
  <si>
    <t>Walls</t>
  </si>
  <si>
    <t>Ceilings</t>
  </si>
  <si>
    <t>Room 1</t>
  </si>
  <si>
    <t>Room 2</t>
  </si>
  <si>
    <t>Room 3</t>
  </si>
  <si>
    <t>Room 4</t>
  </si>
  <si>
    <t>Room 5</t>
  </si>
  <si>
    <t>Room 6</t>
  </si>
  <si>
    <t>Room 7</t>
  </si>
  <si>
    <t>Room 8</t>
  </si>
  <si>
    <t>Sub total</t>
  </si>
  <si>
    <t>5% Waste</t>
  </si>
  <si>
    <t>Total lm</t>
  </si>
  <si>
    <t>Total Cost</t>
  </si>
  <si>
    <t>Door</t>
  </si>
  <si>
    <t>Window</t>
  </si>
  <si>
    <t xml:space="preserve">Total lm </t>
  </si>
  <si>
    <t>Total $</t>
  </si>
  <si>
    <t>SKIRTING</t>
  </si>
  <si>
    <t>ARCHITRAVE</t>
  </si>
  <si>
    <r>
      <rPr>
        <b/>
        <sz val="11"/>
        <color theme="1"/>
        <rFont val="Arial Narrow"/>
        <family val="2"/>
      </rPr>
      <t xml:space="preserve">1. Walls </t>
    </r>
    <r>
      <rPr>
        <sz val="11"/>
        <color theme="1"/>
        <rFont val="Arial Narrow"/>
        <family val="2"/>
      </rPr>
      <t>- 10mm Plasterboard sheeting</t>
    </r>
  </si>
  <si>
    <r>
      <rPr>
        <b/>
        <sz val="11"/>
        <color theme="1"/>
        <rFont val="Arial Narrow"/>
        <family val="2"/>
      </rPr>
      <t>2. Ceiling</t>
    </r>
    <r>
      <rPr>
        <sz val="11"/>
        <color theme="1"/>
        <rFont val="Arial Narrow"/>
        <family val="2"/>
      </rPr>
      <t xml:space="preserve"> - 13mm Acoustic plasterboard sheeting</t>
    </r>
  </si>
  <si>
    <r>
      <rPr>
        <b/>
        <sz val="11"/>
        <color theme="1"/>
        <rFont val="Arial Narrow"/>
        <family val="2"/>
      </rPr>
      <t xml:space="preserve">1. Skirting </t>
    </r>
    <r>
      <rPr>
        <sz val="11"/>
        <color theme="1"/>
        <rFont val="Arial Narrow"/>
        <family val="2"/>
      </rPr>
      <t>- 75mm moulded skirting boards and architraves for each room</t>
    </r>
  </si>
  <si>
    <r>
      <rPr>
        <b/>
        <sz val="11"/>
        <color theme="1"/>
        <rFont val="Arial Narrow"/>
        <family val="2"/>
      </rPr>
      <t>2. 8 x Window Installation</t>
    </r>
    <r>
      <rPr>
        <sz val="11"/>
        <color theme="1"/>
        <rFont val="Arial Narrow"/>
        <family val="2"/>
      </rPr>
      <t xml:space="preserve"> - 1540 x 2650 Sliding aluminium glass window</t>
    </r>
  </si>
  <si>
    <r>
      <rPr>
        <b/>
        <sz val="11"/>
        <color theme="1"/>
        <rFont val="Arial Narrow"/>
        <family val="2"/>
      </rPr>
      <t>3. 8 x Doors + Furniture</t>
    </r>
    <r>
      <rPr>
        <sz val="11"/>
        <color theme="1"/>
        <rFont val="Arial Narrow"/>
        <family val="2"/>
      </rPr>
      <t xml:space="preserve"> - Opening inwards to rooms - 2040 x 820 x 35 flush panel hollow core</t>
    </r>
  </si>
  <si>
    <r>
      <rPr>
        <b/>
        <sz val="11"/>
        <color theme="1"/>
        <rFont val="Arial Narrow"/>
        <family val="2"/>
      </rPr>
      <t>4. 8 x Door and 8x  window jambs</t>
    </r>
    <r>
      <rPr>
        <sz val="11"/>
        <color theme="1"/>
        <rFont val="Arial Narrow"/>
        <family val="2"/>
      </rPr>
      <t xml:space="preserve"> - 75 x 45 treated pine</t>
    </r>
  </si>
  <si>
    <t>CEILING - 13mm Acoustic Plasterboard</t>
  </si>
  <si>
    <t>WALL - 10mm Plasterboard</t>
  </si>
  <si>
    <t>Total m2</t>
  </si>
  <si>
    <t>Total</t>
  </si>
  <si>
    <t>469m2</t>
  </si>
  <si>
    <t>167m2</t>
  </si>
  <si>
    <t xml:space="preserve">Door </t>
  </si>
  <si>
    <t>Less Windows</t>
  </si>
  <si>
    <t>Brick Wall</t>
  </si>
  <si>
    <t>Bricks</t>
  </si>
  <si>
    <r>
      <t>·</t>
    </r>
    <r>
      <rPr>
        <sz val="8"/>
        <color theme="1"/>
        <rFont val="Times New Roman"/>
        <family val="1"/>
      </rPr>
      <t xml:space="preserve">       </t>
    </r>
    <r>
      <rPr>
        <b/>
        <sz val="8"/>
        <color theme="1"/>
        <rFont val="Arial"/>
        <family val="2"/>
      </rPr>
      <t xml:space="preserve">Each bricklayer lays 300 face bricks a day and their labour rate is $34.20/hour for the bricklayers </t>
    </r>
  </si>
  <si>
    <r>
      <t>·</t>
    </r>
    <r>
      <rPr>
        <sz val="8"/>
        <color theme="1"/>
        <rFont val="Times New Roman"/>
        <family val="1"/>
      </rPr>
      <t xml:space="preserve">       </t>
    </r>
    <r>
      <rPr>
        <b/>
        <sz val="8"/>
        <color theme="1"/>
        <rFont val="Arial"/>
        <family val="2"/>
      </rPr>
      <t>49 bricks make up 1m²</t>
    </r>
  </si>
  <si>
    <r>
      <t>·</t>
    </r>
    <r>
      <rPr>
        <sz val="8"/>
        <color theme="1"/>
        <rFont val="Times New Roman"/>
        <family val="1"/>
      </rPr>
      <t xml:space="preserve">       </t>
    </r>
    <r>
      <rPr>
        <b/>
        <sz val="8"/>
        <color theme="1"/>
        <rFont val="Arial"/>
        <family val="2"/>
      </rPr>
      <t>The labour rate is $26.40/hour for the labourer</t>
    </r>
  </si>
  <si>
    <t>Days</t>
  </si>
  <si>
    <t>Hours/Tradesman</t>
  </si>
  <si>
    <t>Hours/Labourer</t>
  </si>
  <si>
    <t>Days on Site</t>
  </si>
  <si>
    <t>Total Tradesman</t>
  </si>
  <si>
    <t>Total Labourer</t>
  </si>
  <si>
    <t>Your bricklaying subbie indicates he will have three tradesman bricklayers on site and one labourer. Estimate the number of days the bricklayers will be on site and the labour cost if:</t>
  </si>
  <si>
    <t>Total Labour Cost</t>
  </si>
  <si>
    <t>Qty</t>
  </si>
  <si>
    <t>Size</t>
  </si>
  <si>
    <t>1200 x 3600</t>
  </si>
  <si>
    <t>1200 x 3000</t>
  </si>
  <si>
    <t>1200 x 2400</t>
  </si>
  <si>
    <t>1200 x 2700</t>
  </si>
  <si>
    <t>1200 x 4200</t>
  </si>
  <si>
    <t>1350 x 3600</t>
  </si>
  <si>
    <t>WALL - 10mm Plasterboard - 469m2</t>
  </si>
  <si>
    <t>CEILING - 13mm Acoustic Plasterboard - 167m2</t>
  </si>
  <si>
    <t>Price</t>
  </si>
  <si>
    <t>Room</t>
  </si>
  <si>
    <t>Doors and Door Hardware</t>
  </si>
  <si>
    <t>Item</t>
  </si>
  <si>
    <t xml:space="preserve">Qty </t>
  </si>
  <si>
    <t>Plastering - Subcontractor Rates</t>
  </si>
  <si>
    <t>Supply &amp; Install 10mm Plasterboard</t>
  </si>
  <si>
    <t>Square Set</t>
  </si>
  <si>
    <t>$12.50/lm</t>
  </si>
  <si>
    <t>Square Set - lm</t>
  </si>
  <si>
    <t xml:space="preserve">Supply &amp; Install 13mm Plasterboard </t>
  </si>
  <si>
    <t>Less Materials</t>
  </si>
  <si>
    <t>Total Labour Only Cost</t>
  </si>
  <si>
    <t xml:space="preserve">Approximate Quote </t>
  </si>
  <si>
    <t>2 Tradesman - 3 days to Hang Sheets</t>
  </si>
  <si>
    <t>Ceilings - 13mm Plasterboard</t>
  </si>
  <si>
    <t>Walls - 10mm Plasterboard</t>
  </si>
  <si>
    <t>$18.60/m2</t>
  </si>
  <si>
    <t>$19.20/m2</t>
  </si>
  <si>
    <t>Plus GST</t>
  </si>
  <si>
    <t>Ryobi Silver Hydraulic Door Closer</t>
  </si>
  <si>
    <t>Hume Doors &amp; Timber 92 x 19mm Pine Prehung Door Jamb</t>
  </si>
  <si>
    <t xml:space="preserve">
Ikonic Brushed Nickel Victoria Entrance Lever</t>
  </si>
  <si>
    <t>Delf Door Stop Conceal Fix 
Skirt Mount</t>
  </si>
  <si>
    <t>Hume Doors &amp; Timber 2040 x 820 x 35 Flush Primecoat Prehung Door</t>
  </si>
  <si>
    <t>Aluminium sliding glass window 1540 x 2650</t>
  </si>
  <si>
    <t>Architrave lm</t>
  </si>
  <si>
    <t>Skirting lm</t>
  </si>
  <si>
    <t xml:space="preserve">Carpenter </t>
  </si>
  <si>
    <t>262lm</t>
  </si>
  <si>
    <t>150lm @ $6.40 = $960.00</t>
  </si>
  <si>
    <t>112lm x $6.40 = $716.80</t>
  </si>
  <si>
    <t xml:space="preserve">Comparison Quote - Estimating Hours </t>
  </si>
  <si>
    <t>2 Tradesman - 4 Days to Set &amp; Sand</t>
  </si>
  <si>
    <t>Rooms 6, 7, 8 - Double entry doors in lieu of Single</t>
  </si>
  <si>
    <t xml:space="preserve">Item </t>
  </si>
  <si>
    <t>Rate</t>
  </si>
  <si>
    <t>Plus Builders Margin - 10%</t>
  </si>
  <si>
    <t>Hume Double Door Jamb Set - 1640 x 35 
Incl. 2 stiles, 1 head</t>
  </si>
  <si>
    <t xml:space="preserve">
Lockwood Velocity L3 Entrance Lockset</t>
  </si>
  <si>
    <t>Barrell Bolt</t>
  </si>
  <si>
    <t>Carpenter Install all doors and hardware
2 hours per door</t>
  </si>
  <si>
    <t xml:space="preserve">Total </t>
  </si>
  <si>
    <t>Sub Total</t>
  </si>
  <si>
    <t xml:space="preserve">Variation Credit </t>
  </si>
  <si>
    <t>Carpenter - Labour to alter framing to suit double entry doors - 1 hour per frame</t>
  </si>
  <si>
    <t>Delf Door Stop Conceal Fix - Skirt Mount</t>
  </si>
  <si>
    <t>Less Variation Credit - Single doors</t>
  </si>
  <si>
    <t>Carpenter - Labour to install all doors and hardware - 3 hours per door</t>
  </si>
  <si>
    <t>Ikonic Brushed Nickel Victoria Entrance Lever</t>
  </si>
  <si>
    <t>Credit Total</t>
  </si>
  <si>
    <t xml:space="preserve">LOT 6 - PENDER STREET </t>
  </si>
  <si>
    <t>Internal &amp; External Pre fabricated timber walls</t>
  </si>
  <si>
    <t>$</t>
  </si>
  <si>
    <t>Supplier: Sunshine Hardware</t>
  </si>
  <si>
    <t xml:space="preserve">Building designed to AS1684.1999 Light timber framing and AS1170 loading code </t>
  </si>
  <si>
    <t>Including bracing - to be fixed as per bracing plan</t>
  </si>
  <si>
    <t>Note: Studs to load bearing walls not to be notched for bracing</t>
  </si>
  <si>
    <t>Plates not to be trenched for studs</t>
  </si>
  <si>
    <t>Internal &amp; External Pre fabricated walls estimated at $1480 per m2 
including ancillaries</t>
  </si>
  <si>
    <t>Concrete slab including reinforcing</t>
  </si>
  <si>
    <t>Supplier Concrete: HyTec Concrete</t>
  </si>
  <si>
    <t>Supplier Reinforcing: Mesh &amp; Bar</t>
  </si>
  <si>
    <t>Concretor: Glovers Concreting</t>
  </si>
  <si>
    <t>Concrete Pumping: Jesse's Concrete Pumping</t>
  </si>
  <si>
    <t xml:space="preserve">Foundations - 50mm Bedding Sand </t>
  </si>
  <si>
    <t>100mm concrete slab with 2 layers of F11 trench mesh</t>
  </si>
  <si>
    <t xml:space="preserve">N20 Reinforcing, F82 Fabric, 0.2mm visqueen membrane </t>
  </si>
  <si>
    <t>Note: Additional trench mesh allowed for in corners as per Foundation Plan</t>
  </si>
  <si>
    <t>Labour</t>
  </si>
  <si>
    <t>Concretor Labour - Footings 78.8 x 0.35 = 27.58m2 + Slab 262.5m2 = 290m2 x $35/m2</t>
  </si>
  <si>
    <t>Concrete Pumping - Footings &amp; Slab</t>
  </si>
  <si>
    <t>Materials</t>
  </si>
  <si>
    <t>Footings - Trench Mesh - 2 Layers, Reo</t>
  </si>
  <si>
    <t>Slab - 50mm Bedding Sand - Qty = 262.5m2 x 0.05 x $92/m2</t>
  </si>
  <si>
    <t xml:space="preserve">Slab - Visqueen Membrane </t>
  </si>
  <si>
    <t xml:space="preserve">Slab - Reinforcing - SL82 </t>
  </si>
  <si>
    <t>Concrete - Footings - 71.6 lineal metres + 10% waste = 78.8 x 0.14 = 11m3 x $160/m3</t>
  </si>
  <si>
    <t>Concrete - Slab - 238.6m3 + 10% waste = 262.5m2 x 0.10 = 26.25m3 x $160/m3</t>
  </si>
  <si>
    <t>11 x Bored piers @ $20 per pier</t>
  </si>
  <si>
    <t>Timber flooring - upper floor</t>
  </si>
  <si>
    <t>19mm structural grade plywood flooring</t>
  </si>
  <si>
    <t>HJ 200 hyspan floor joists to main floor at 450 centres</t>
  </si>
  <si>
    <t>15mm compressed decking to be waterproofed and tiled</t>
  </si>
  <si>
    <t>170 x 45 F17 hardwood floor joists</t>
  </si>
  <si>
    <t>Timber flooring - 125m2 + 5% waste = 131.25m2 x $85/m2</t>
  </si>
  <si>
    <t>Architrave - upper floor - 187 lineal metres incl. 10% waste</t>
  </si>
  <si>
    <t>Ensuite Window: 900+900+900 = 2700</t>
  </si>
  <si>
    <t xml:space="preserve">Ensuite Door: 2040+720+2040 = 4800 x 2 = 9600 </t>
  </si>
  <si>
    <t>Bedroom 1 Window: 1200+900+1200 = 3300</t>
  </si>
  <si>
    <t>Bedroom 1 External Doors: 2100+620+620+2100 = 5440</t>
  </si>
  <si>
    <t>Bedroom 1 Window: 1200+1500+1200 = 3900</t>
  </si>
  <si>
    <t>Bedroom 1 Door: 2040+820+2040 = 4900 x 2 = 9800</t>
  </si>
  <si>
    <t>Bedroom 1 Robe Door: 2040+720+2040 = 4800 x 2 = 9600</t>
  </si>
  <si>
    <t>Bedroom 1 Robe Window: 600+600+600 = 1800</t>
  </si>
  <si>
    <t>Bedroom 2 Window: 1200+2100+1200 = 4500</t>
  </si>
  <si>
    <t>Bedroom 2 Door: 2040+820+2040 = 4900 x 2 = 9800</t>
  </si>
  <si>
    <t xml:space="preserve">Bedroom 2 Robe Door: 2040+720+2040 = 4800 x 2 = 9600 </t>
  </si>
  <si>
    <t>Bedroom 2 Robe Window: 600+600+600 = 1800</t>
  </si>
  <si>
    <t>Bedroom 3 Window: 1200+1800+1200 = 4200</t>
  </si>
  <si>
    <t>Bedroom 3 Door: 2040+820+2040 = 4900 x 2 = 9800</t>
  </si>
  <si>
    <t xml:space="preserve">Bedroom 3 Robe Door: 2040+720+2040 = 4800 x 2 = 9600 </t>
  </si>
  <si>
    <t>Bedroom 3 Robe Window: 600+600+600 = 1800</t>
  </si>
  <si>
    <t>Bedroom 4 Window: 1200+1200+1200 = 3600</t>
  </si>
  <si>
    <t>Bedroom 4 Window: 1200+1800+1200 = 4200</t>
  </si>
  <si>
    <t>Bedroom 4 Cavity sliding door: 2040+820+2040 = 4900 x 2 = 9800</t>
  </si>
  <si>
    <t>Linen Cupboard Door: 2040+520+520+2040 = 5120 x 2 = 10240</t>
  </si>
  <si>
    <t>Linen Cupboard Door: 2040+520+520+520+520+2040 = 6160 x 2 = 12320</t>
  </si>
  <si>
    <t>WC Window: 600+900+600 = 2100</t>
  </si>
  <si>
    <t>WC Door: 2040+720+2040 = 4800 x 2 = 9600</t>
  </si>
  <si>
    <t>Bathroom Window: 1200+1800+1200 = 4200</t>
  </si>
  <si>
    <t>Bathroom Door: 2040+770+2040 = 4850 x 2 = 9700</t>
  </si>
  <si>
    <t>Hallway Window: 1200+1200+1200 = 3600</t>
  </si>
  <si>
    <t>Total Architrave = 170 lineal metres + 10% waste = 187 lineal metres @ $6.40</t>
  </si>
  <si>
    <t>Skirting - upper floor - 65 lineal metres incl. 10% waste</t>
  </si>
  <si>
    <t>Bedroom 1: 4800-620-620+4200+4800+800-820+5000-720-720 = 16100</t>
  </si>
  <si>
    <t>Bedroom 2: 3600+4200-720+3600-820+4200 = 14060</t>
  </si>
  <si>
    <t>Bedroom 3: 3000+1540-720+3300+3000+1540-450+3300-820+450 = 11140</t>
  </si>
  <si>
    <t>Bedroom 4: 4200+3000+4200-820 = 10580</t>
  </si>
  <si>
    <t>Hallway: 3360-820-820+450+4000-720-770+2840 = 7520</t>
  </si>
  <si>
    <t>Total Skirting = 59.4 lineal metres + 10% waste = 65 lineal metres @ $6.40</t>
  </si>
  <si>
    <t>Wet area tiles - upper floor - materials</t>
  </si>
  <si>
    <t xml:space="preserve">Supplier: Colours Direct </t>
  </si>
  <si>
    <t>15mm hardipanel , fixed to manufactuers specifications</t>
  </si>
  <si>
    <t>Floors 300 x 300</t>
  </si>
  <si>
    <t>Bathroom: 2.96 x 2.44 = 7.22m2 plus 10% waste = 7.94m2</t>
  </si>
  <si>
    <t>WC: 1.02 x 2.195 = 2.24m2 plus 10% waste = 2.46m2</t>
  </si>
  <si>
    <t>Ensuite: 3 x 2.79 = 8.37m2 plus 10% waste = 9.21m2</t>
  </si>
  <si>
    <t xml:space="preserve"> Total floors = 11.67m2 @ $42/m2</t>
  </si>
  <si>
    <t>Walls 250 x 100 - no detailed wet area elevations - estimate price</t>
  </si>
  <si>
    <t>Bathroom: 10m2 plus 10% waste = 11m2</t>
  </si>
  <si>
    <t>WC: N/A</t>
  </si>
  <si>
    <t>Ensuite: 12m2 plus 10% waste = 13.2m2</t>
  </si>
  <si>
    <t>Total walls = 24.2m2 @ $44/m2</t>
  </si>
  <si>
    <t>Wet area tiles - upper floor only - Installation - including waterproofing</t>
  </si>
  <si>
    <t>Installation: GT Tiling - $50/m2</t>
  </si>
  <si>
    <t>Floors - 11.67m2 x $50/m2</t>
  </si>
  <si>
    <t>Walls - 24.2m2 x $50/m2</t>
  </si>
  <si>
    <t xml:space="preserve">Roofing </t>
  </si>
  <si>
    <t>Installation: Ascent Roofing Solutions</t>
  </si>
  <si>
    <t>0.42 BMT Klip Lok zincalume trimdek roof sheeting fixed to manufactuers specification</t>
  </si>
  <si>
    <t>on 38 x 75 F14 hardwood battens at 900 centres</t>
  </si>
  <si>
    <t>tie down with 1-75mm No. 14 type 17 screws</t>
  </si>
  <si>
    <t>120 x 35 F8 rafters at 1200 centres</t>
  </si>
  <si>
    <t>400 x 100 zincalume box gutter</t>
  </si>
  <si>
    <t>roof to be sarked with single sided sisalation</t>
  </si>
  <si>
    <t>colorbond capping</t>
  </si>
  <si>
    <t>Supply and install roofing as per drawings and specifications</t>
  </si>
  <si>
    <t>14.95 x 21.070 = 315m2  - Less 7.39 x 7.46 = 55.13m2 - plus approx 10% waste</t>
  </si>
  <si>
    <t>285m2 x $65/m2 = $18,580.70</t>
  </si>
  <si>
    <t>Aluminium windows and doors - lower floor only</t>
  </si>
  <si>
    <t>Supplier: Axis Glass &amp; Aluminuim</t>
  </si>
  <si>
    <t>Windows</t>
  </si>
  <si>
    <t>Garage: 900 x 1500</t>
  </si>
  <si>
    <t>Laundry: 900 x 900</t>
  </si>
  <si>
    <t>Bathroom: 900 x 600</t>
  </si>
  <si>
    <t>Rumus: 1200 x 2100</t>
  </si>
  <si>
    <t>Kitchen: 1200 x 900</t>
  </si>
  <si>
    <t>Family: 2100 x 1500</t>
  </si>
  <si>
    <t>Dining: 2100 x 1500</t>
  </si>
  <si>
    <t>Lounge: 2100 x 1600</t>
  </si>
  <si>
    <t>Lounge: 1800 x 900</t>
  </si>
  <si>
    <t>Study: 1800 x 1800</t>
  </si>
  <si>
    <t>Hallway: 1800 x 900</t>
  </si>
  <si>
    <t>Total Aluminium Windows</t>
  </si>
  <si>
    <t>External doors</t>
  </si>
  <si>
    <t>Entry Doors: Double 2040 x 820 doors (2 of)</t>
  </si>
  <si>
    <t>Garage Door: Sectional overhead door - 5000mm wide</t>
  </si>
  <si>
    <t>Garage External door: 2040 x 820</t>
  </si>
  <si>
    <t>Laundry External door: 2040 x 820</t>
  </si>
  <si>
    <t>Family Room: Aluminium sliding door 2100 x 3000</t>
  </si>
  <si>
    <t>Family Room: Aluminium sliding door 2100 x 3600</t>
  </si>
  <si>
    <t>Dining Room: Aluminium sliding door 2100 x 3000</t>
  </si>
  <si>
    <t>Total External Doors</t>
  </si>
  <si>
    <t>Internal doors - lower floor only</t>
  </si>
  <si>
    <t>2040 height x  35 thick</t>
  </si>
  <si>
    <t>Garage: 2040 x 820</t>
  </si>
  <si>
    <t>Store Room: 2040 x 820</t>
  </si>
  <si>
    <t>Laundry: 2040 x 820</t>
  </si>
  <si>
    <t>Bathroom: 2040 x 770</t>
  </si>
  <si>
    <t>Rumpus: Double doors - 2040 x 720 (2)</t>
  </si>
  <si>
    <t>Pantry: 2040 x 620</t>
  </si>
  <si>
    <t>Store Room under stairs: 2040 x 720</t>
  </si>
  <si>
    <t xml:space="preserve">Lounge: Cavity slider - 2040 x 820 </t>
  </si>
  <si>
    <t>Study: Flush solid core - 2040 x 820</t>
  </si>
  <si>
    <t>Total Internal Doors - lower floor only</t>
  </si>
  <si>
    <t>Installation - 2 hours per door @ $27.80/hour + 20%</t>
  </si>
  <si>
    <t xml:space="preserve">9 x doors @ 2 hours per door = 18 hours @ $27.80 = $500.40 + 20% on costs </t>
  </si>
  <si>
    <t>Pest Control</t>
  </si>
  <si>
    <t>Delivery Pre Fabricated Frames &amp; Trusses</t>
  </si>
  <si>
    <t>Delivery of Windows</t>
  </si>
  <si>
    <t>Pre-Sheet Inspection</t>
  </si>
  <si>
    <t>Builders Clean</t>
  </si>
  <si>
    <t>Final Sparkle Clean / Handover</t>
  </si>
  <si>
    <t>Days to complete</t>
  </si>
  <si>
    <t>Carpet Installation</t>
  </si>
  <si>
    <t>Labour and Time Schedule</t>
  </si>
  <si>
    <t>A</t>
  </si>
  <si>
    <t>E</t>
  </si>
  <si>
    <t>I</t>
  </si>
  <si>
    <t>B</t>
  </si>
  <si>
    <t>C</t>
  </si>
  <si>
    <t>D</t>
  </si>
  <si>
    <t>F</t>
  </si>
  <si>
    <t>G</t>
  </si>
  <si>
    <t>H</t>
  </si>
  <si>
    <t>J</t>
  </si>
  <si>
    <t>K</t>
  </si>
  <si>
    <t>Site Survey</t>
  </si>
  <si>
    <t>Plumber - Internal Drainage</t>
  </si>
  <si>
    <t>Concretor - Slab Pour</t>
  </si>
  <si>
    <t>Carpenter - Stand Trusses</t>
  </si>
  <si>
    <t>Electrical - Internal Power &amp; NBN</t>
  </si>
  <si>
    <t>Scaffolder - Hang Scaffold</t>
  </si>
  <si>
    <t>Roofer - Install Facia Gutter</t>
  </si>
  <si>
    <t>Carpenter - Frame Tie Down</t>
  </si>
  <si>
    <t>Carpenter - Ceiling Battens</t>
  </si>
  <si>
    <t>Carpenter - Install sisilation and windows</t>
  </si>
  <si>
    <t>Plumbing Rough In</t>
  </si>
  <si>
    <t xml:space="preserve">Electrical Rough In </t>
  </si>
  <si>
    <t>Mechanical - Air conditioning Rough In</t>
  </si>
  <si>
    <t>Carpenter - Install Double Garage Door</t>
  </si>
  <si>
    <t>Plasterer - Cornice Setting</t>
  </si>
  <si>
    <t>Carpentry - Fix Out</t>
  </si>
  <si>
    <t>Joinery - Install Kitchen and Vanities</t>
  </si>
  <si>
    <t>Tiler - Bed and Tile Wet Areas</t>
  </si>
  <si>
    <t>Electrical - Fit Off</t>
  </si>
  <si>
    <t>Plumbing - Fit Off</t>
  </si>
  <si>
    <t>Mechanical - Air conditioning Fit Off</t>
  </si>
  <si>
    <t>Carpenter - Install Door Hardware / Accessories</t>
  </si>
  <si>
    <t>Carpenter - Install Mirrors and Shower Screens</t>
  </si>
  <si>
    <t>Carpenter - Install Robes</t>
  </si>
  <si>
    <t>NBN Rough In</t>
  </si>
  <si>
    <t>Frame Inspection</t>
  </si>
  <si>
    <t>Remove stair void</t>
  </si>
  <si>
    <t>Install Stairs</t>
  </si>
  <si>
    <t>Patch around Stairs</t>
  </si>
  <si>
    <t>Concreteor - Form &amp; Steel</t>
  </si>
  <si>
    <t>Concretor - Slab preparation</t>
  </si>
  <si>
    <t>Carpenter - Erect Ground Floor Pre Fabricated Frames</t>
  </si>
  <si>
    <t>Carpenter - Floor Joists &amp; Flooring</t>
  </si>
  <si>
    <t>Carpenter - FEPS to Timber Joists</t>
  </si>
  <si>
    <t>Roofer - Install Roof</t>
  </si>
  <si>
    <t>Carpenter - Install External Cladding to scaffold areas</t>
  </si>
  <si>
    <t>Painter - Paint External Cladding</t>
  </si>
  <si>
    <t>Scaffolder - Remove scaffold</t>
  </si>
  <si>
    <t>Plasterer - Insulation</t>
  </si>
  <si>
    <t>Plasterer - Wall, Ceiling Linings</t>
  </si>
  <si>
    <t>Paint stair void area</t>
  </si>
  <si>
    <t>Waterproofing to wet areas</t>
  </si>
  <si>
    <t>Tiler - Tiling &amp; Joint Sealing</t>
  </si>
  <si>
    <t>Painter - Internal &amp; Balance External Painting</t>
  </si>
  <si>
    <t>Install Timber Stair Top Rail</t>
  </si>
  <si>
    <t>Defects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</si>
</sst>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quot;#,##0.00;[Red]\-&quot;$&quot;#,##0.00"/>
    <numFmt numFmtId="44" formatCode="_-&quot;$&quot;* #,##0.00_-;\-&quot;$&quot;* #,##0.00_-;_-&quot;$&quot;* &quot;-&quot;??_-;_-@_-"/>
    <numFmt numFmtId="164" formatCode="0.0"/>
  </numFmts>
  <fonts count="13" x14ac:knownFonts="1">
    <font>
      <sz val="11"/>
      <color theme="1"/>
      <name val="Calibri"/>
      <family val="2"/>
      <scheme val="minor"/>
    </font>
    <font>
      <sz val="11"/>
      <color theme="1"/>
      <name val="Calibri"/>
      <family val="2"/>
      <scheme val="minor"/>
    </font>
    <font>
      <b/>
      <u/>
      <sz val="11"/>
      <color theme="1"/>
      <name val="Arial Narrow"/>
      <family val="2"/>
    </font>
    <font>
      <sz val="11"/>
      <color theme="1"/>
      <name val="Arial Narrow"/>
      <family val="2"/>
    </font>
    <font>
      <b/>
      <sz val="11"/>
      <color theme="1"/>
      <name val="Arial Narrow"/>
      <family val="2"/>
    </font>
    <font>
      <b/>
      <sz val="11"/>
      <color theme="1"/>
      <name val="Calibri"/>
      <family val="2"/>
      <scheme val="minor"/>
    </font>
    <font>
      <sz val="8"/>
      <color theme="1"/>
      <name val="Times New Roman"/>
      <family val="1"/>
    </font>
    <font>
      <b/>
      <sz val="8"/>
      <color theme="1"/>
      <name val="Arial"/>
      <family val="2"/>
    </font>
    <font>
      <sz val="8"/>
      <color theme="1"/>
      <name val="Symbol"/>
      <family val="1"/>
      <charset val="2"/>
    </font>
    <font>
      <b/>
      <sz val="12"/>
      <color theme="1"/>
      <name val="Arial Narrow"/>
      <family val="2"/>
    </font>
    <font>
      <sz val="12"/>
      <color theme="1"/>
      <name val="Arial Narrow"/>
      <family val="2"/>
    </font>
    <font>
      <b/>
      <sz val="11"/>
      <color rgb="FFFF0000"/>
      <name val="Arial Narrow"/>
      <family val="2"/>
    </font>
    <font>
      <sz val="11"/>
      <color rgb="FFFF0000"/>
      <name val="Arial Narrow"/>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93">
    <xf numFmtId="0" fontId="0" fillId="0" borderId="0" xfId="0"/>
    <xf numFmtId="0" fontId="3" fillId="0" borderId="0" xfId="0" applyFont="1"/>
    <xf numFmtId="0" fontId="2" fillId="0" borderId="0" xfId="0" applyFont="1" applyFill="1"/>
    <xf numFmtId="0" fontId="3" fillId="0" borderId="0" xfId="0" applyFont="1" applyFill="1"/>
    <xf numFmtId="0" fontId="0" fillId="0" borderId="0" xfId="0" applyFill="1"/>
    <xf numFmtId="0" fontId="3" fillId="0" borderId="1" xfId="0" applyFont="1" applyFill="1" applyBorder="1"/>
    <xf numFmtId="0" fontId="4" fillId="0" borderId="1" xfId="0" applyFont="1" applyFill="1" applyBorder="1"/>
    <xf numFmtId="164" fontId="4" fillId="0" borderId="1" xfId="0" applyNumberFormat="1" applyFont="1" applyFill="1" applyBorder="1"/>
    <xf numFmtId="44" fontId="4" fillId="0" borderId="1" xfId="1" applyFont="1" applyFill="1" applyBorder="1"/>
    <xf numFmtId="0" fontId="4" fillId="0" borderId="1" xfId="0" applyFont="1" applyFill="1" applyBorder="1" applyAlignment="1">
      <alignment horizontal="center"/>
    </xf>
    <xf numFmtId="0" fontId="3" fillId="0" borderId="2" xfId="0" applyFont="1" applyFill="1" applyBorder="1"/>
    <xf numFmtId="0" fontId="4" fillId="0" borderId="2" xfId="0" applyFont="1" applyFill="1" applyBorder="1"/>
    <xf numFmtId="44" fontId="3" fillId="0" borderId="1" xfId="1" applyNumberFormat="1" applyFont="1" applyFill="1" applyBorder="1"/>
    <xf numFmtId="0" fontId="2" fillId="0" borderId="0" xfId="0" applyFont="1"/>
    <xf numFmtId="0" fontId="3" fillId="0" borderId="0" xfId="0" applyFont="1" applyAlignment="1">
      <alignment wrapText="1"/>
    </xf>
    <xf numFmtId="0" fontId="2" fillId="0" borderId="0" xfId="0" applyFont="1" applyAlignment="1">
      <alignment wrapText="1"/>
    </xf>
    <xf numFmtId="0" fontId="4" fillId="0" borderId="0" xfId="0" applyFont="1"/>
    <xf numFmtId="0" fontId="4" fillId="0" borderId="1" xfId="0" applyFont="1" applyBorder="1" applyAlignment="1">
      <alignment horizontal="center"/>
    </xf>
    <xf numFmtId="0" fontId="3" fillId="0" borderId="1" xfId="0" applyFont="1" applyBorder="1" applyAlignment="1">
      <alignment wrapText="1"/>
    </xf>
    <xf numFmtId="164" fontId="3" fillId="0" borderId="1" xfId="0" applyNumberFormat="1" applyFont="1" applyBorder="1"/>
    <xf numFmtId="164" fontId="4" fillId="0" borderId="1" xfId="0" applyNumberFormat="1" applyFont="1" applyBorder="1"/>
    <xf numFmtId="0" fontId="4" fillId="0" borderId="1" xfId="0" applyFont="1" applyBorder="1"/>
    <xf numFmtId="0" fontId="3" fillId="0" borderId="1" xfId="0" applyFont="1" applyBorder="1"/>
    <xf numFmtId="164" fontId="3" fillId="0" borderId="1" xfId="0" applyNumberFormat="1" applyFont="1" applyFill="1" applyBorder="1"/>
    <xf numFmtId="1" fontId="4" fillId="0" borderId="1" xfId="0" applyNumberFormat="1" applyFont="1" applyFill="1" applyBorder="1"/>
    <xf numFmtId="164" fontId="3" fillId="0" borderId="2" xfId="0" applyNumberFormat="1" applyFont="1" applyFill="1" applyBorder="1"/>
    <xf numFmtId="164" fontId="4" fillId="0" borderId="2" xfId="0" applyNumberFormat="1" applyFont="1" applyFill="1" applyBorder="1"/>
    <xf numFmtId="1" fontId="4" fillId="0" borderId="2" xfId="0" applyNumberFormat="1" applyFont="1" applyFill="1" applyBorder="1"/>
    <xf numFmtId="0" fontId="5" fillId="0" borderId="0" xfId="0" applyFont="1"/>
    <xf numFmtId="0" fontId="8" fillId="0" borderId="0" xfId="0" applyFont="1" applyAlignment="1">
      <alignment horizontal="left" vertical="center" indent="7"/>
    </xf>
    <xf numFmtId="1" fontId="0" fillId="0" borderId="0" xfId="0" applyNumberFormat="1"/>
    <xf numFmtId="0" fontId="9" fillId="0" borderId="0" xfId="0" applyFont="1"/>
    <xf numFmtId="1" fontId="10" fillId="0" borderId="1" xfId="0" applyNumberFormat="1" applyFont="1" applyBorder="1"/>
    <xf numFmtId="0" fontId="10" fillId="0" borderId="1" xfId="0" applyFont="1" applyBorder="1"/>
    <xf numFmtId="1" fontId="10" fillId="0" borderId="1" xfId="0" applyNumberFormat="1" applyFont="1" applyFill="1" applyBorder="1"/>
    <xf numFmtId="0" fontId="10" fillId="0" borderId="0" xfId="0" applyFont="1"/>
    <xf numFmtId="44" fontId="10" fillId="0" borderId="1" xfId="1" applyFont="1" applyBorder="1"/>
    <xf numFmtId="8" fontId="10" fillId="0" borderId="1" xfId="0" applyNumberFormat="1" applyFont="1" applyBorder="1"/>
    <xf numFmtId="0" fontId="7" fillId="0" borderId="0" xfId="0" applyFont="1" applyAlignment="1">
      <alignment horizontal="left" vertical="center" indent="4"/>
    </xf>
    <xf numFmtId="0" fontId="10" fillId="0" borderId="1" xfId="0" applyFont="1" applyFill="1" applyBorder="1"/>
    <xf numFmtId="0" fontId="0" fillId="0" borderId="0" xfId="0" applyAlignment="1">
      <alignment horizontal="center"/>
    </xf>
    <xf numFmtId="0" fontId="10" fillId="0" borderId="0" xfId="0" applyFont="1" applyAlignment="1">
      <alignment horizontal="center"/>
    </xf>
    <xf numFmtId="0" fontId="2" fillId="0" borderId="0" xfId="0" applyFont="1" applyFill="1" applyAlignment="1">
      <alignment horizontal="left"/>
    </xf>
    <xf numFmtId="0" fontId="2" fillId="0" borderId="0" xfId="0" applyFont="1" applyFill="1" applyAlignment="1">
      <alignment horizontal="center"/>
    </xf>
    <xf numFmtId="1" fontId="3" fillId="0" borderId="1" xfId="0" applyNumberFormat="1" applyFont="1" applyFill="1" applyBorder="1" applyAlignment="1">
      <alignment horizontal="center"/>
    </xf>
    <xf numFmtId="164" fontId="3" fillId="0" borderId="1" xfId="0" applyNumberFormat="1" applyFont="1" applyFill="1" applyBorder="1" applyAlignment="1">
      <alignment horizontal="center"/>
    </xf>
    <xf numFmtId="1" fontId="3" fillId="0" borderId="3" xfId="0" applyNumberFormat="1" applyFont="1" applyBorder="1" applyAlignment="1">
      <alignment horizontal="center"/>
    </xf>
    <xf numFmtId="0" fontId="3" fillId="0" borderId="3" xfId="0" applyFont="1" applyBorder="1" applyAlignment="1">
      <alignment horizontal="center"/>
    </xf>
    <xf numFmtId="44" fontId="3" fillId="0" borderId="1" xfId="1" applyFont="1" applyBorder="1"/>
    <xf numFmtId="1" fontId="3" fillId="0" borderId="1" xfId="0" applyNumberFormat="1" applyFont="1" applyBorder="1" applyAlignment="1">
      <alignment horizontal="center"/>
    </xf>
    <xf numFmtId="0" fontId="3" fillId="0" borderId="1" xfId="0" applyFont="1" applyBorder="1" applyAlignment="1">
      <alignment horizontal="center"/>
    </xf>
    <xf numFmtId="1" fontId="4" fillId="0" borderId="1" xfId="0" applyNumberFormat="1" applyFont="1" applyBorder="1" applyAlignment="1">
      <alignment horizontal="center"/>
    </xf>
    <xf numFmtId="1" fontId="4" fillId="0" borderId="1" xfId="0" applyNumberFormat="1" applyFont="1" applyFill="1" applyBorder="1" applyAlignment="1">
      <alignment horizontal="center"/>
    </xf>
    <xf numFmtId="0" fontId="3" fillId="0" borderId="0" xfId="0" applyFont="1" applyFill="1" applyAlignment="1">
      <alignment horizontal="center"/>
    </xf>
    <xf numFmtId="0" fontId="0" fillId="0" borderId="0" xfId="0" applyFont="1" applyAlignment="1">
      <alignment horizontal="center"/>
    </xf>
    <xf numFmtId="0" fontId="0" fillId="0" borderId="0" xfId="0" applyFont="1"/>
    <xf numFmtId="44" fontId="4" fillId="0" borderId="1" xfId="1" applyFont="1" applyBorder="1"/>
    <xf numFmtId="0" fontId="3" fillId="0" borderId="0" xfId="0" applyFont="1" applyAlignment="1">
      <alignment horizontal="center"/>
    </xf>
    <xf numFmtId="44" fontId="0" fillId="0" borderId="0" xfId="1" applyFont="1"/>
    <xf numFmtId="44" fontId="3" fillId="0" borderId="1" xfId="1" applyFont="1" applyBorder="1" applyAlignment="1">
      <alignment horizontal="center"/>
    </xf>
    <xf numFmtId="44" fontId="4" fillId="2" borderId="1" xfId="0" applyNumberFormat="1" applyFont="1" applyFill="1" applyBorder="1"/>
    <xf numFmtId="1" fontId="4" fillId="2" borderId="1" xfId="0" applyNumberFormat="1" applyFont="1" applyFill="1" applyBorder="1"/>
    <xf numFmtId="44" fontId="4" fillId="2" borderId="1" xfId="1" applyFont="1" applyFill="1" applyBorder="1"/>
    <xf numFmtId="44" fontId="4" fillId="2" borderId="1" xfId="1" applyNumberFormat="1" applyFont="1" applyFill="1" applyBorder="1" applyAlignment="1">
      <alignment horizontal="right"/>
    </xf>
    <xf numFmtId="1" fontId="9" fillId="2" borderId="1" xfId="0" applyNumberFormat="1" applyFont="1" applyFill="1" applyBorder="1"/>
    <xf numFmtId="0" fontId="9" fillId="2" borderId="1" xfId="0" applyFont="1" applyFill="1" applyBorder="1"/>
    <xf numFmtId="0" fontId="10" fillId="2" borderId="1" xfId="0" applyFont="1" applyFill="1" applyBorder="1"/>
    <xf numFmtId="44" fontId="9" fillId="2" borderId="1" xfId="1" quotePrefix="1" applyFont="1" applyFill="1" applyBorder="1"/>
    <xf numFmtId="0" fontId="4" fillId="0" borderId="0" xfId="0" applyFont="1" applyBorder="1"/>
    <xf numFmtId="0" fontId="2" fillId="0" borderId="0" xfId="0" applyFont="1" applyBorder="1"/>
    <xf numFmtId="164" fontId="4" fillId="0" borderId="1" xfId="0" applyNumberFormat="1" applyFont="1" applyBorder="1" applyAlignment="1">
      <alignment horizontal="center"/>
    </xf>
    <xf numFmtId="44" fontId="3" fillId="0" borderId="1" xfId="0" applyNumberFormat="1" applyFont="1" applyBorder="1" applyAlignment="1">
      <alignment horizontal="center"/>
    </xf>
    <xf numFmtId="0" fontId="4" fillId="0" borderId="1" xfId="0" applyFont="1" applyBorder="1" applyAlignment="1">
      <alignment wrapText="1"/>
    </xf>
    <xf numFmtId="0" fontId="3" fillId="0" borderId="1" xfId="0" applyFont="1" applyBorder="1" applyAlignment="1">
      <alignment horizontal="left" wrapText="1"/>
    </xf>
    <xf numFmtId="44" fontId="11" fillId="0" borderId="1" xfId="1" applyFont="1" applyBorder="1"/>
    <xf numFmtId="0" fontId="11" fillId="0" borderId="1" xfId="0" applyFont="1" applyBorder="1" applyAlignment="1">
      <alignment wrapText="1"/>
    </xf>
    <xf numFmtId="0" fontId="12" fillId="0" borderId="1" xfId="0" applyFont="1" applyBorder="1" applyAlignment="1">
      <alignment horizontal="center"/>
    </xf>
    <xf numFmtId="44" fontId="12" fillId="0" borderId="1" xfId="1" applyFont="1" applyBorder="1"/>
    <xf numFmtId="44" fontId="4" fillId="0" borderId="0" xfId="1" applyFont="1"/>
    <xf numFmtId="0" fontId="2" fillId="0" borderId="1" xfId="0" applyFont="1" applyFill="1" applyBorder="1"/>
    <xf numFmtId="0" fontId="4" fillId="0" borderId="1" xfId="0" applyFont="1" applyFill="1" applyBorder="1" applyAlignment="1">
      <alignment wrapText="1"/>
    </xf>
    <xf numFmtId="0" fontId="2" fillId="0" borderId="1" xfId="0" applyFont="1" applyBorder="1"/>
    <xf numFmtId="0" fontId="5" fillId="0" borderId="0" xfId="0" applyFont="1" applyAlignment="1">
      <alignment horizontal="center"/>
    </xf>
    <xf numFmtId="44" fontId="4" fillId="0" borderId="4" xfId="1" applyFont="1" applyBorder="1" applyAlignment="1">
      <alignment horizontal="center"/>
    </xf>
    <xf numFmtId="44" fontId="4" fillId="0" borderId="4" xfId="1" applyFont="1" applyBorder="1"/>
    <xf numFmtId="44" fontId="3" fillId="0" borderId="4" xfId="1" applyFont="1" applyBorder="1"/>
    <xf numFmtId="44" fontId="3" fillId="0" borderId="4" xfId="1" applyFont="1" applyFill="1" applyBorder="1"/>
    <xf numFmtId="0" fontId="5" fillId="0" borderId="1" xfId="0" applyFont="1" applyBorder="1" applyAlignment="1">
      <alignment horizontal="center"/>
    </xf>
    <xf numFmtId="0" fontId="3" fillId="0" borderId="4" xfId="0" applyFont="1" applyBorder="1" applyAlignment="1">
      <alignment horizontal="center"/>
    </xf>
    <xf numFmtId="0" fontId="4" fillId="0" borderId="1" xfId="0" applyFont="1" applyBorder="1" applyAlignment="1">
      <alignment horizontal="center" wrapText="1"/>
    </xf>
    <xf numFmtId="0" fontId="3" fillId="0" borderId="0" xfId="0" applyFont="1" applyAlignment="1">
      <alignment wrapText="1"/>
    </xf>
    <xf numFmtId="0" fontId="4" fillId="2" borderId="1" xfId="0" applyFont="1" applyFill="1" applyBorder="1"/>
    <xf numFmtId="0" fontId="4" fillId="2" borderId="1" xfId="0" applyFont="1" applyFill="1" applyBorder="1" applyAlignment="1">
      <alignment horizont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workbookViewId="0"/>
  </sheetViews>
  <sheetFormatPr defaultColWidth="9.109375" defaultRowHeight="13.8" x14ac:dyDescent="0.25"/>
  <cols>
    <col min="1" max="1" width="82" style="1" customWidth="1"/>
    <col min="2" max="2" width="9.5546875" style="1" customWidth="1"/>
    <col min="3" max="3" width="9.109375" style="1"/>
    <col min="4" max="4" width="10.33203125" style="1" customWidth="1"/>
    <col min="5" max="16384" width="9.109375" style="1"/>
  </cols>
  <sheetData>
    <row r="1" spans="1:6" x14ac:dyDescent="0.25">
      <c r="A1" s="13" t="s">
        <v>7</v>
      </c>
    </row>
    <row r="2" spans="1:6" x14ac:dyDescent="0.25">
      <c r="A2" s="1" t="s">
        <v>0</v>
      </c>
    </row>
    <row r="3" spans="1:6" x14ac:dyDescent="0.25">
      <c r="A3" s="1" t="s">
        <v>1</v>
      </c>
    </row>
    <row r="5" spans="1:6" x14ac:dyDescent="0.25">
      <c r="A5" s="1" t="s">
        <v>5</v>
      </c>
    </row>
    <row r="6" spans="1:6" x14ac:dyDescent="0.25">
      <c r="A6" s="1" t="s">
        <v>2</v>
      </c>
    </row>
    <row r="7" spans="1:6" x14ac:dyDescent="0.25">
      <c r="A7" s="1" t="s">
        <v>3</v>
      </c>
    </row>
    <row r="8" spans="1:6" x14ac:dyDescent="0.25">
      <c r="A8" s="1" t="s">
        <v>4</v>
      </c>
    </row>
    <row r="9" spans="1:6" x14ac:dyDescent="0.25">
      <c r="A9" s="90" t="s">
        <v>6</v>
      </c>
    </row>
    <row r="10" spans="1:6" x14ac:dyDescent="0.25">
      <c r="A10" s="90"/>
    </row>
    <row r="11" spans="1:6" x14ac:dyDescent="0.25">
      <c r="A11" s="90"/>
    </row>
    <row r="12" spans="1:6" x14ac:dyDescent="0.25">
      <c r="A12" s="14"/>
    </row>
    <row r="13" spans="1:6" x14ac:dyDescent="0.25">
      <c r="A13" s="15" t="s">
        <v>8</v>
      </c>
      <c r="C13" s="16" t="s">
        <v>24</v>
      </c>
      <c r="D13" s="16" t="s">
        <v>25</v>
      </c>
      <c r="E13" s="16" t="s">
        <v>26</v>
      </c>
      <c r="F13" s="16" t="s">
        <v>27</v>
      </c>
    </row>
    <row r="14" spans="1:6" x14ac:dyDescent="0.25">
      <c r="A14" s="14" t="s">
        <v>9</v>
      </c>
      <c r="B14" s="17" t="s">
        <v>22</v>
      </c>
      <c r="C14" s="17" t="s">
        <v>23</v>
      </c>
      <c r="D14" s="17" t="s">
        <v>23</v>
      </c>
      <c r="E14" s="17" t="s">
        <v>22</v>
      </c>
      <c r="F14" s="17" t="s">
        <v>22</v>
      </c>
    </row>
    <row r="15" spans="1:6" x14ac:dyDescent="0.25">
      <c r="A15" s="18" t="s">
        <v>10</v>
      </c>
      <c r="B15" s="19">
        <f>6*3.3</f>
        <v>19.799999999999997</v>
      </c>
      <c r="C15" s="19"/>
      <c r="D15" s="19"/>
      <c r="E15" s="19"/>
      <c r="F15" s="19"/>
    </row>
    <row r="16" spans="1:6" x14ac:dyDescent="0.25">
      <c r="A16" s="18" t="s">
        <v>11</v>
      </c>
      <c r="B16" s="19">
        <f>3.9*3.3</f>
        <v>12.87</v>
      </c>
      <c r="C16" s="19"/>
      <c r="D16" s="19"/>
      <c r="E16" s="19"/>
      <c r="F16" s="19"/>
    </row>
    <row r="17" spans="1:6" x14ac:dyDescent="0.25">
      <c r="A17" s="18" t="s">
        <v>12</v>
      </c>
      <c r="B17" s="19">
        <f>4*3.3</f>
        <v>13.2</v>
      </c>
      <c r="C17" s="19"/>
      <c r="D17" s="19"/>
      <c r="E17" s="19"/>
      <c r="F17" s="19"/>
    </row>
    <row r="18" spans="1:6" x14ac:dyDescent="0.25">
      <c r="A18" s="18" t="s">
        <v>13</v>
      </c>
      <c r="B18" s="19">
        <f>4.8*3.3</f>
        <v>15.839999999999998</v>
      </c>
      <c r="C18" s="19"/>
      <c r="D18" s="19"/>
      <c r="E18" s="19"/>
      <c r="F18" s="19"/>
    </row>
    <row r="19" spans="1:6" x14ac:dyDescent="0.25">
      <c r="A19" s="18" t="s">
        <v>14</v>
      </c>
      <c r="B19" s="19">
        <f>5.2*3.3</f>
        <v>17.16</v>
      </c>
      <c r="C19" s="19"/>
      <c r="D19" s="19"/>
      <c r="E19" s="19"/>
      <c r="F19" s="19"/>
    </row>
    <row r="20" spans="1:6" x14ac:dyDescent="0.25">
      <c r="A20" s="18" t="s">
        <v>15</v>
      </c>
      <c r="B20" s="19">
        <f>7.4*3.3</f>
        <v>24.419999999999998</v>
      </c>
      <c r="C20" s="19"/>
      <c r="D20" s="19"/>
      <c r="E20" s="19"/>
      <c r="F20" s="19"/>
    </row>
    <row r="21" spans="1:6" x14ac:dyDescent="0.25">
      <c r="A21" s="18" t="s">
        <v>16</v>
      </c>
      <c r="B21" s="19">
        <f>8*3.3</f>
        <v>26.4</v>
      </c>
      <c r="C21" s="19"/>
      <c r="D21" s="19"/>
      <c r="E21" s="19"/>
      <c r="F21" s="19"/>
    </row>
    <row r="22" spans="1:6" x14ac:dyDescent="0.25">
      <c r="A22" s="18" t="s">
        <v>17</v>
      </c>
      <c r="B22" s="19">
        <f>9*3.3</f>
        <v>29.7</v>
      </c>
      <c r="C22" s="19"/>
      <c r="D22" s="19"/>
      <c r="E22" s="19"/>
      <c r="F22" s="19"/>
    </row>
    <row r="23" spans="1:6" x14ac:dyDescent="0.25">
      <c r="A23" s="14"/>
      <c r="B23" s="20">
        <f>SUM(B15:B22)</f>
        <v>159.38999999999999</v>
      </c>
      <c r="C23" s="21"/>
      <c r="D23" s="22"/>
      <c r="E23" s="22"/>
      <c r="F23" s="22"/>
    </row>
    <row r="24" spans="1:6" x14ac:dyDescent="0.25">
      <c r="A24" s="13" t="s">
        <v>20</v>
      </c>
    </row>
    <row r="25" spans="1:6" x14ac:dyDescent="0.25">
      <c r="A25" s="14" t="s">
        <v>46</v>
      </c>
    </row>
    <row r="26" spans="1:6" x14ac:dyDescent="0.25">
      <c r="A26" s="14" t="s">
        <v>47</v>
      </c>
    </row>
    <row r="27" spans="1:6" x14ac:dyDescent="0.25">
      <c r="A27" s="14"/>
    </row>
    <row r="28" spans="1:6" x14ac:dyDescent="0.25">
      <c r="A28" s="15" t="s">
        <v>18</v>
      </c>
    </row>
    <row r="29" spans="1:6" x14ac:dyDescent="0.25">
      <c r="A29" s="14" t="s">
        <v>48</v>
      </c>
    </row>
    <row r="30" spans="1:6" x14ac:dyDescent="0.25">
      <c r="A30" s="14" t="s">
        <v>49</v>
      </c>
    </row>
    <row r="31" spans="1:6" x14ac:dyDescent="0.25">
      <c r="A31" s="14" t="s">
        <v>19</v>
      </c>
    </row>
    <row r="32" spans="1:6" x14ac:dyDescent="0.25">
      <c r="A32" s="1" t="s">
        <v>50</v>
      </c>
    </row>
    <row r="33" spans="1:1" x14ac:dyDescent="0.25">
      <c r="A33" s="14" t="s">
        <v>21</v>
      </c>
    </row>
    <row r="34" spans="1:1" x14ac:dyDescent="0.25">
      <c r="A34" s="14" t="s">
        <v>51</v>
      </c>
    </row>
  </sheetData>
  <mergeCells count="1">
    <mergeCell ref="A9:A11"/>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6" workbookViewId="0"/>
  </sheetViews>
  <sheetFormatPr defaultRowHeight="14.4" x14ac:dyDescent="0.3"/>
  <cols>
    <col min="1" max="1" width="21.88671875" bestFit="1" customWidth="1"/>
    <col min="2" max="2" width="12" customWidth="1"/>
    <col min="3" max="3" width="10.88671875" customWidth="1"/>
    <col min="4" max="4" width="10.44140625" customWidth="1"/>
    <col min="5" max="5" width="5.33203125" bestFit="1" customWidth="1"/>
    <col min="6" max="6" width="7.88671875" bestFit="1" customWidth="1"/>
    <col min="7" max="7" width="8.5546875" bestFit="1" customWidth="1"/>
    <col min="8" max="8" width="10" bestFit="1" customWidth="1"/>
    <col min="11" max="11" width="12.33203125" customWidth="1"/>
  </cols>
  <sheetData>
    <row r="1" spans="1:8" x14ac:dyDescent="0.3">
      <c r="A1" s="2" t="s">
        <v>44</v>
      </c>
      <c r="B1" s="3"/>
      <c r="C1" s="3"/>
      <c r="D1" s="4"/>
    </row>
    <row r="2" spans="1:8" x14ac:dyDescent="0.3">
      <c r="A2" s="2" t="s">
        <v>113</v>
      </c>
      <c r="B2" s="3"/>
      <c r="C2" s="3"/>
      <c r="D2" s="4"/>
    </row>
    <row r="3" spans="1:8" x14ac:dyDescent="0.3">
      <c r="A3" s="2"/>
      <c r="B3" s="3"/>
      <c r="C3" s="3"/>
      <c r="D3" s="4"/>
      <c r="H3" s="1"/>
    </row>
    <row r="4" spans="1:8" x14ac:dyDescent="0.3">
      <c r="A4" s="5" t="s">
        <v>28</v>
      </c>
      <c r="B4" s="5">
        <v>17.78</v>
      </c>
      <c r="C4" s="3"/>
      <c r="D4" s="4"/>
      <c r="H4" s="1"/>
    </row>
    <row r="5" spans="1:8" x14ac:dyDescent="0.3">
      <c r="A5" s="5" t="s">
        <v>29</v>
      </c>
      <c r="B5" s="5">
        <v>13.58</v>
      </c>
      <c r="C5" s="3"/>
      <c r="D5" s="4"/>
      <c r="H5" s="1"/>
    </row>
    <row r="6" spans="1:8" x14ac:dyDescent="0.3">
      <c r="A6" s="5" t="s">
        <v>30</v>
      </c>
      <c r="B6" s="5">
        <v>13.78</v>
      </c>
      <c r="C6" s="3"/>
      <c r="D6" s="4"/>
      <c r="H6" s="1"/>
    </row>
    <row r="7" spans="1:8" x14ac:dyDescent="0.3">
      <c r="A7" s="5" t="s">
        <v>31</v>
      </c>
      <c r="B7" s="5">
        <v>15.38</v>
      </c>
      <c r="C7" s="3"/>
      <c r="D7" s="4"/>
      <c r="H7" s="1"/>
    </row>
    <row r="8" spans="1:8" x14ac:dyDescent="0.3">
      <c r="A8" s="5" t="s">
        <v>32</v>
      </c>
      <c r="B8" s="5">
        <v>16.18</v>
      </c>
      <c r="C8" s="3"/>
      <c r="D8" s="4"/>
      <c r="H8" s="1"/>
    </row>
    <row r="9" spans="1:8" x14ac:dyDescent="0.3">
      <c r="A9" s="5" t="s">
        <v>33</v>
      </c>
      <c r="B9" s="5">
        <v>20.58</v>
      </c>
      <c r="C9" s="3"/>
      <c r="D9" s="4"/>
      <c r="H9" s="1"/>
    </row>
    <row r="10" spans="1:8" x14ac:dyDescent="0.3">
      <c r="A10" s="5" t="s">
        <v>34</v>
      </c>
      <c r="B10" s="5">
        <v>21.78</v>
      </c>
      <c r="C10" s="3"/>
      <c r="D10" s="4"/>
      <c r="H10" s="1"/>
    </row>
    <row r="11" spans="1:8" x14ac:dyDescent="0.3">
      <c r="A11" s="5" t="s">
        <v>35</v>
      </c>
      <c r="B11" s="5">
        <v>23.78</v>
      </c>
      <c r="C11" s="3"/>
      <c r="D11" s="4"/>
      <c r="H11" s="1"/>
    </row>
    <row r="12" spans="1:8" x14ac:dyDescent="0.3">
      <c r="A12" s="5" t="s">
        <v>36</v>
      </c>
      <c r="B12" s="5">
        <f>SUM(B4:B11)</f>
        <v>142.84</v>
      </c>
      <c r="C12" s="3"/>
      <c r="D12" s="4"/>
      <c r="H12" s="1"/>
    </row>
    <row r="13" spans="1:8" x14ac:dyDescent="0.3">
      <c r="A13" s="5" t="s">
        <v>37</v>
      </c>
      <c r="B13" s="5">
        <f>B12*5%</f>
        <v>7.1420000000000003</v>
      </c>
      <c r="C13" s="3"/>
      <c r="D13" s="4"/>
      <c r="H13" s="1"/>
    </row>
    <row r="14" spans="1:8" x14ac:dyDescent="0.3">
      <c r="A14" s="6" t="s">
        <v>38</v>
      </c>
      <c r="B14" s="7">
        <f>B12+B13</f>
        <v>149.982</v>
      </c>
      <c r="C14" s="3"/>
      <c r="D14" s="4"/>
      <c r="H14" s="1"/>
    </row>
    <row r="15" spans="1:8" x14ac:dyDescent="0.3">
      <c r="A15" s="6" t="s">
        <v>39</v>
      </c>
      <c r="B15" s="62">
        <f>150*6.4</f>
        <v>960</v>
      </c>
      <c r="C15" s="3"/>
      <c r="D15" s="4"/>
      <c r="H15" s="1"/>
    </row>
    <row r="16" spans="1:8" x14ac:dyDescent="0.3">
      <c r="A16" s="4"/>
      <c r="B16" s="4"/>
      <c r="C16" s="4"/>
      <c r="D16" s="4"/>
    </row>
    <row r="17" spans="1:4" x14ac:dyDescent="0.3">
      <c r="A17" s="2" t="s">
        <v>45</v>
      </c>
      <c r="B17" s="3"/>
      <c r="C17" s="3"/>
      <c r="D17" s="4"/>
    </row>
    <row r="18" spans="1:4" x14ac:dyDescent="0.3">
      <c r="A18" s="2" t="s">
        <v>114</v>
      </c>
      <c r="B18" s="3"/>
      <c r="C18" s="3"/>
      <c r="D18" s="4"/>
    </row>
    <row r="19" spans="1:4" x14ac:dyDescent="0.3">
      <c r="A19" s="2"/>
      <c r="B19" s="3"/>
      <c r="C19" s="3"/>
      <c r="D19" s="3"/>
    </row>
    <row r="20" spans="1:4" x14ac:dyDescent="0.3">
      <c r="A20" s="3"/>
      <c r="B20" s="9" t="s">
        <v>40</v>
      </c>
      <c r="C20" s="9" t="s">
        <v>41</v>
      </c>
      <c r="D20" s="3"/>
    </row>
    <row r="21" spans="1:4" x14ac:dyDescent="0.3">
      <c r="A21" s="10" t="s">
        <v>28</v>
      </c>
      <c r="B21" s="5">
        <v>4.9000000000000004</v>
      </c>
      <c r="C21" s="5">
        <v>8.3800000000000008</v>
      </c>
      <c r="D21" s="3"/>
    </row>
    <row r="22" spans="1:4" x14ac:dyDescent="0.3">
      <c r="A22" s="10" t="s">
        <v>29</v>
      </c>
      <c r="B22" s="5">
        <v>4.9000000000000004</v>
      </c>
      <c r="C22" s="5">
        <v>8.3800000000000008</v>
      </c>
      <c r="D22" s="3"/>
    </row>
    <row r="23" spans="1:4" x14ac:dyDescent="0.3">
      <c r="A23" s="10" t="s">
        <v>30</v>
      </c>
      <c r="B23" s="5">
        <v>4.9000000000000004</v>
      </c>
      <c r="C23" s="5">
        <v>8.3800000000000008</v>
      </c>
      <c r="D23" s="3"/>
    </row>
    <row r="24" spans="1:4" x14ac:dyDescent="0.3">
      <c r="A24" s="10" t="s">
        <v>31</v>
      </c>
      <c r="B24" s="5">
        <v>4.9000000000000004</v>
      </c>
      <c r="C24" s="5">
        <v>8.3800000000000008</v>
      </c>
      <c r="D24" s="3"/>
    </row>
    <row r="25" spans="1:4" x14ac:dyDescent="0.3">
      <c r="A25" s="10" t="s">
        <v>32</v>
      </c>
      <c r="B25" s="5">
        <v>4.9000000000000004</v>
      </c>
      <c r="C25" s="5">
        <v>8.3800000000000008</v>
      </c>
      <c r="D25" s="3"/>
    </row>
    <row r="26" spans="1:4" x14ac:dyDescent="0.3">
      <c r="A26" s="10" t="s">
        <v>33</v>
      </c>
      <c r="B26" s="5">
        <v>4.9000000000000004</v>
      </c>
      <c r="C26" s="5">
        <v>8.3800000000000008</v>
      </c>
      <c r="D26" s="3"/>
    </row>
    <row r="27" spans="1:4" x14ac:dyDescent="0.3">
      <c r="A27" s="10" t="s">
        <v>34</v>
      </c>
      <c r="B27" s="5">
        <v>4.9000000000000004</v>
      </c>
      <c r="C27" s="5">
        <v>8.3800000000000008</v>
      </c>
      <c r="D27" s="3"/>
    </row>
    <row r="28" spans="1:4" x14ac:dyDescent="0.3">
      <c r="A28" s="10" t="s">
        <v>35</v>
      </c>
      <c r="B28" s="5">
        <v>4.9000000000000004</v>
      </c>
      <c r="C28" s="5">
        <v>8.3800000000000008</v>
      </c>
      <c r="D28" s="3"/>
    </row>
    <row r="29" spans="1:4" x14ac:dyDescent="0.3">
      <c r="A29" s="11" t="s">
        <v>36</v>
      </c>
      <c r="B29" s="6">
        <f>SUM(B21:B28)</f>
        <v>39.199999999999996</v>
      </c>
      <c r="C29" s="7">
        <f>SUM(C21:C28)</f>
        <v>67.040000000000006</v>
      </c>
      <c r="D29" s="3"/>
    </row>
    <row r="30" spans="1:4" x14ac:dyDescent="0.3">
      <c r="A30" s="11" t="s">
        <v>37</v>
      </c>
      <c r="B30" s="7">
        <f>B29*5%</f>
        <v>1.96</v>
      </c>
      <c r="C30" s="7">
        <f>C29*5%</f>
        <v>3.3520000000000003</v>
      </c>
      <c r="D30" s="3"/>
    </row>
    <row r="31" spans="1:4" x14ac:dyDescent="0.3">
      <c r="A31" s="11" t="s">
        <v>38</v>
      </c>
      <c r="B31" s="7">
        <f>B29+B30</f>
        <v>41.16</v>
      </c>
      <c r="C31" s="7">
        <f>C29+C30</f>
        <v>70.39200000000001</v>
      </c>
      <c r="D31" s="24">
        <f>B31+C31</f>
        <v>111.55200000000001</v>
      </c>
    </row>
    <row r="32" spans="1:4" x14ac:dyDescent="0.3">
      <c r="A32" s="11" t="s">
        <v>39</v>
      </c>
      <c r="B32" s="8"/>
      <c r="C32" s="12"/>
      <c r="D32" s="63">
        <f>112*6.4</f>
        <v>716.80000000000007</v>
      </c>
    </row>
    <row r="33" spans="1:4" x14ac:dyDescent="0.3">
      <c r="A33" s="4"/>
      <c r="B33" s="4"/>
      <c r="C33" s="4"/>
      <c r="D33" s="4"/>
    </row>
    <row r="34" spans="1:4" x14ac:dyDescent="0.3">
      <c r="A34" s="9" t="s">
        <v>42</v>
      </c>
      <c r="B34" s="9" t="s">
        <v>43</v>
      </c>
      <c r="C34" s="4"/>
      <c r="D34" s="4"/>
    </row>
    <row r="35" spans="1:4" x14ac:dyDescent="0.3">
      <c r="A35" s="9" t="s">
        <v>112</v>
      </c>
      <c r="B35" s="62">
        <f>262*6.4</f>
        <v>1676.8000000000002</v>
      </c>
      <c r="C35" s="4"/>
      <c r="D35" s="4"/>
    </row>
  </sheetData>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4" workbookViewId="0">
      <selection activeCell="B14" sqref="B14"/>
    </sheetView>
  </sheetViews>
  <sheetFormatPr defaultRowHeight="14.4" x14ac:dyDescent="0.3"/>
  <cols>
    <col min="1" max="1" width="11.33203125" customWidth="1"/>
    <col min="2" max="2" width="8.109375" customWidth="1"/>
    <col min="3" max="3" width="8.33203125" customWidth="1"/>
    <col min="4" max="4" width="8.33203125" bestFit="1" customWidth="1"/>
    <col min="5" max="5" width="9.33203125" customWidth="1"/>
    <col min="6" max="6" width="7.88671875" bestFit="1" customWidth="1"/>
    <col min="7" max="7" width="8.5546875" bestFit="1" customWidth="1"/>
    <col min="8" max="8" width="10" bestFit="1" customWidth="1"/>
    <col min="11" max="11" width="12.33203125" customWidth="1"/>
  </cols>
  <sheetData>
    <row r="1" spans="1:8" x14ac:dyDescent="0.3">
      <c r="A1" s="2" t="s">
        <v>52</v>
      </c>
      <c r="B1" s="3"/>
      <c r="C1" s="3"/>
      <c r="D1" s="4"/>
    </row>
    <row r="2" spans="1:8" x14ac:dyDescent="0.3">
      <c r="A2" s="2" t="s">
        <v>57</v>
      </c>
      <c r="B2" s="3"/>
      <c r="C2" s="3"/>
      <c r="D2" s="4"/>
    </row>
    <row r="3" spans="1:8" x14ac:dyDescent="0.3">
      <c r="A3" s="2"/>
      <c r="B3" s="3"/>
      <c r="C3" s="3"/>
      <c r="D3" s="4"/>
      <c r="H3" s="1"/>
    </row>
    <row r="4" spans="1:8" x14ac:dyDescent="0.3">
      <c r="A4" s="5" t="s">
        <v>28</v>
      </c>
      <c r="B4" s="23">
        <f>6*3.3</f>
        <v>19.799999999999997</v>
      </c>
      <c r="C4" s="3"/>
      <c r="D4" s="4"/>
      <c r="H4" s="1"/>
    </row>
    <row r="5" spans="1:8" x14ac:dyDescent="0.3">
      <c r="A5" s="5" t="s">
        <v>29</v>
      </c>
      <c r="B5" s="23">
        <f>3.9*3.3</f>
        <v>12.87</v>
      </c>
      <c r="C5" s="3"/>
      <c r="D5" s="4"/>
      <c r="H5" s="1"/>
    </row>
    <row r="6" spans="1:8" x14ac:dyDescent="0.3">
      <c r="A6" s="5" t="s">
        <v>30</v>
      </c>
      <c r="B6" s="23">
        <f>4*3.3</f>
        <v>13.2</v>
      </c>
      <c r="C6" s="3"/>
      <c r="D6" s="4"/>
      <c r="H6" s="1"/>
    </row>
    <row r="7" spans="1:8" x14ac:dyDescent="0.3">
      <c r="A7" s="5" t="s">
        <v>31</v>
      </c>
      <c r="B7" s="23">
        <f>4.8*3.3</f>
        <v>15.839999999999998</v>
      </c>
      <c r="C7" s="3"/>
      <c r="D7" s="4"/>
      <c r="H7" s="1"/>
    </row>
    <row r="8" spans="1:8" x14ac:dyDescent="0.3">
      <c r="A8" s="5" t="s">
        <v>32</v>
      </c>
      <c r="B8" s="23">
        <f>5.2*3.3</f>
        <v>17.16</v>
      </c>
      <c r="C8" s="3"/>
      <c r="D8" s="4"/>
      <c r="H8" s="1"/>
    </row>
    <row r="9" spans="1:8" x14ac:dyDescent="0.3">
      <c r="A9" s="5" t="s">
        <v>33</v>
      </c>
      <c r="B9" s="23">
        <f>7.4*3.3</f>
        <v>24.419999999999998</v>
      </c>
      <c r="C9" s="3"/>
      <c r="D9" s="4"/>
      <c r="H9" s="1"/>
    </row>
    <row r="10" spans="1:8" x14ac:dyDescent="0.3">
      <c r="A10" s="5" t="s">
        <v>34</v>
      </c>
      <c r="B10" s="23">
        <f>8*3.3</f>
        <v>26.4</v>
      </c>
      <c r="C10" s="3"/>
      <c r="D10" s="4"/>
      <c r="H10" s="1"/>
    </row>
    <row r="11" spans="1:8" x14ac:dyDescent="0.3">
      <c r="A11" s="5" t="s">
        <v>35</v>
      </c>
      <c r="B11" s="23">
        <f>9*3.3</f>
        <v>29.7</v>
      </c>
      <c r="C11" s="3"/>
      <c r="D11" s="4"/>
      <c r="H11" s="1"/>
    </row>
    <row r="12" spans="1:8" x14ac:dyDescent="0.3">
      <c r="A12" s="6" t="s">
        <v>36</v>
      </c>
      <c r="B12" s="24">
        <f>SUM(B4:B11)</f>
        <v>159.38999999999999</v>
      </c>
      <c r="C12" s="3"/>
      <c r="D12" s="4"/>
      <c r="H12" s="1"/>
    </row>
    <row r="13" spans="1:8" x14ac:dyDescent="0.3">
      <c r="A13" s="6" t="s">
        <v>37</v>
      </c>
      <c r="B13" s="24">
        <f>B12*5%</f>
        <v>7.9695</v>
      </c>
      <c r="C13" s="3"/>
      <c r="D13" s="4"/>
      <c r="H13" s="1"/>
    </row>
    <row r="14" spans="1:8" x14ac:dyDescent="0.3">
      <c r="A14" s="6" t="s">
        <v>54</v>
      </c>
      <c r="B14" s="61">
        <f>SUM(B12:B13)</f>
        <v>167.3595</v>
      </c>
      <c r="C14" s="3"/>
      <c r="D14" s="4"/>
      <c r="H14" s="1"/>
    </row>
    <row r="15" spans="1:8" x14ac:dyDescent="0.3">
      <c r="A15" s="4"/>
      <c r="B15" s="4"/>
      <c r="C15" s="4"/>
      <c r="D15" s="4"/>
    </row>
    <row r="16" spans="1:8" x14ac:dyDescent="0.3">
      <c r="A16" s="2" t="s">
        <v>53</v>
      </c>
      <c r="B16" s="3"/>
      <c r="C16" s="3"/>
      <c r="D16" s="4"/>
    </row>
    <row r="17" spans="1:5" x14ac:dyDescent="0.3">
      <c r="A17" s="2" t="s">
        <v>56</v>
      </c>
      <c r="B17" s="3"/>
      <c r="C17" s="3"/>
      <c r="D17" s="4"/>
    </row>
    <row r="18" spans="1:5" x14ac:dyDescent="0.3">
      <c r="A18" s="2"/>
      <c r="B18" s="3"/>
      <c r="C18" s="9" t="s">
        <v>41</v>
      </c>
      <c r="D18" s="9" t="s">
        <v>58</v>
      </c>
      <c r="E18" s="9" t="s">
        <v>55</v>
      </c>
    </row>
    <row r="19" spans="1:5" x14ac:dyDescent="0.3">
      <c r="A19" s="10" t="s">
        <v>28</v>
      </c>
      <c r="B19" s="25">
        <f>(3.3*3.3)+(6*3.3)+(3.3*3.3)+(6*3.3)</f>
        <v>61.379999999999995</v>
      </c>
      <c r="C19" s="23">
        <f>1.54*2.65</f>
        <v>4.0809999999999995</v>
      </c>
      <c r="D19" s="23">
        <f>2.04*0.82</f>
        <v>1.6727999999999998</v>
      </c>
      <c r="E19" s="23">
        <f>B19-C19-D19</f>
        <v>55.62619999999999</v>
      </c>
    </row>
    <row r="20" spans="1:5" x14ac:dyDescent="0.3">
      <c r="A20" s="10" t="s">
        <v>29</v>
      </c>
      <c r="B20" s="25">
        <f>(3.3+3.9+3.3+3.9)*3.3</f>
        <v>47.519999999999996</v>
      </c>
      <c r="C20" s="23">
        <f t="shared" ref="C20:C26" si="0">1.54*2.65</f>
        <v>4.0809999999999995</v>
      </c>
      <c r="D20" s="23">
        <f t="shared" ref="D20:D26" si="1">2.04*0.82</f>
        <v>1.6727999999999998</v>
      </c>
      <c r="E20" s="23">
        <f t="shared" ref="E20:E26" si="2">B20-C20-D20</f>
        <v>41.766199999999991</v>
      </c>
    </row>
    <row r="21" spans="1:5" x14ac:dyDescent="0.3">
      <c r="A21" s="10" t="s">
        <v>30</v>
      </c>
      <c r="B21" s="25">
        <f>14.6*3.3</f>
        <v>48.18</v>
      </c>
      <c r="C21" s="23">
        <f t="shared" si="0"/>
        <v>4.0809999999999995</v>
      </c>
      <c r="D21" s="23">
        <f t="shared" si="1"/>
        <v>1.6727999999999998</v>
      </c>
      <c r="E21" s="23">
        <f t="shared" si="2"/>
        <v>42.426200000000001</v>
      </c>
    </row>
    <row r="22" spans="1:5" x14ac:dyDescent="0.3">
      <c r="A22" s="10" t="s">
        <v>31</v>
      </c>
      <c r="B22" s="25">
        <f>16.2*3.3</f>
        <v>53.459999999999994</v>
      </c>
      <c r="C22" s="23">
        <f t="shared" si="0"/>
        <v>4.0809999999999995</v>
      </c>
      <c r="D22" s="23">
        <f t="shared" si="1"/>
        <v>1.6727999999999998</v>
      </c>
      <c r="E22" s="23">
        <f t="shared" si="2"/>
        <v>47.706199999999988</v>
      </c>
    </row>
    <row r="23" spans="1:5" x14ac:dyDescent="0.3">
      <c r="A23" s="10" t="s">
        <v>32</v>
      </c>
      <c r="B23" s="25">
        <f>17*3.3</f>
        <v>56.099999999999994</v>
      </c>
      <c r="C23" s="23">
        <f t="shared" si="0"/>
        <v>4.0809999999999995</v>
      </c>
      <c r="D23" s="23">
        <f t="shared" si="1"/>
        <v>1.6727999999999998</v>
      </c>
      <c r="E23" s="23">
        <f t="shared" si="2"/>
        <v>50.346199999999989</v>
      </c>
    </row>
    <row r="24" spans="1:5" x14ac:dyDescent="0.3">
      <c r="A24" s="10" t="s">
        <v>33</v>
      </c>
      <c r="B24" s="25">
        <f>21.4*3.3</f>
        <v>70.61999999999999</v>
      </c>
      <c r="C24" s="23">
        <f t="shared" si="0"/>
        <v>4.0809999999999995</v>
      </c>
      <c r="D24" s="23">
        <f t="shared" si="1"/>
        <v>1.6727999999999998</v>
      </c>
      <c r="E24" s="23">
        <f t="shared" si="2"/>
        <v>64.866199999999992</v>
      </c>
    </row>
    <row r="25" spans="1:5" x14ac:dyDescent="0.3">
      <c r="A25" s="10" t="s">
        <v>34</v>
      </c>
      <c r="B25" s="25">
        <f>22.6*3.3</f>
        <v>74.58</v>
      </c>
      <c r="C25" s="23">
        <f t="shared" si="0"/>
        <v>4.0809999999999995</v>
      </c>
      <c r="D25" s="23">
        <f t="shared" si="1"/>
        <v>1.6727999999999998</v>
      </c>
      <c r="E25" s="23">
        <f t="shared" si="2"/>
        <v>68.8262</v>
      </c>
    </row>
    <row r="26" spans="1:5" x14ac:dyDescent="0.3">
      <c r="A26" s="10" t="s">
        <v>35</v>
      </c>
      <c r="B26" s="25">
        <f>24.6*3.3</f>
        <v>81.180000000000007</v>
      </c>
      <c r="C26" s="23">
        <f t="shared" si="0"/>
        <v>4.0809999999999995</v>
      </c>
      <c r="D26" s="23">
        <f t="shared" si="1"/>
        <v>1.6727999999999998</v>
      </c>
      <c r="E26" s="23">
        <f t="shared" si="2"/>
        <v>75.426200000000009</v>
      </c>
    </row>
    <row r="27" spans="1:5" x14ac:dyDescent="0.3">
      <c r="A27" s="11" t="s">
        <v>36</v>
      </c>
      <c r="B27" s="26"/>
      <c r="C27" s="5"/>
      <c r="D27" s="5"/>
      <c r="E27" s="24">
        <f>SUM(E19:E26)</f>
        <v>446.98959999999988</v>
      </c>
    </row>
    <row r="28" spans="1:5" x14ac:dyDescent="0.3">
      <c r="A28" s="11" t="s">
        <v>37</v>
      </c>
      <c r="B28" s="26"/>
      <c r="C28" s="5"/>
      <c r="D28" s="5"/>
      <c r="E28" s="24">
        <f>E27*5%</f>
        <v>22.349479999999996</v>
      </c>
    </row>
    <row r="29" spans="1:5" x14ac:dyDescent="0.3">
      <c r="A29" s="11" t="s">
        <v>54</v>
      </c>
      <c r="B29" s="27"/>
      <c r="C29" s="5"/>
      <c r="D29" s="5"/>
      <c r="E29" s="61">
        <f>SUM(E27:E28)</f>
        <v>469.33907999999985</v>
      </c>
    </row>
    <row r="30" spans="1:5" x14ac:dyDescent="0.3">
      <c r="A30" s="4"/>
      <c r="B30" s="4"/>
      <c r="C30" s="3"/>
      <c r="D30" s="3"/>
      <c r="E30" s="3"/>
    </row>
  </sheetData>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opLeftCell="A7" workbookViewId="0">
      <selection activeCell="A3" sqref="A3"/>
    </sheetView>
  </sheetViews>
  <sheetFormatPr defaultRowHeight="14.4" x14ac:dyDescent="0.3"/>
  <cols>
    <col min="1" max="1" width="5.6640625" style="40" customWidth="1"/>
    <col min="2" max="2" width="4.109375" bestFit="1" customWidth="1"/>
    <col min="3" max="3" width="10.6640625" bestFit="1" customWidth="1"/>
    <col min="4" max="4" width="2.109375" customWidth="1"/>
    <col min="5" max="5" width="4.44140625" bestFit="1" customWidth="1"/>
    <col min="6" max="6" width="10.88671875" bestFit="1" customWidth="1"/>
    <col min="7" max="7" width="7.6640625" bestFit="1" customWidth="1"/>
    <col min="8" max="8" width="10.33203125" bestFit="1" customWidth="1"/>
    <col min="11" max="11" width="12.33203125" customWidth="1"/>
  </cols>
  <sheetData>
    <row r="1" spans="1:8" x14ac:dyDescent="0.3">
      <c r="A1" s="42" t="s">
        <v>81</v>
      </c>
      <c r="B1" s="3"/>
      <c r="C1" s="3"/>
      <c r="D1" s="1"/>
      <c r="E1" s="16"/>
      <c r="F1" s="1"/>
      <c r="G1" s="1"/>
      <c r="H1" s="1"/>
    </row>
    <row r="2" spans="1:8" x14ac:dyDescent="0.3">
      <c r="A2" s="43"/>
      <c r="B2" s="3"/>
      <c r="C2" s="3"/>
      <c r="D2" s="1"/>
      <c r="E2" s="16"/>
      <c r="F2" s="1"/>
      <c r="G2" s="1"/>
      <c r="H2" s="1"/>
    </row>
    <row r="3" spans="1:8" x14ac:dyDescent="0.3">
      <c r="A3" s="9" t="s">
        <v>84</v>
      </c>
      <c r="B3" s="9" t="s">
        <v>73</v>
      </c>
      <c r="C3" s="9" t="s">
        <v>74</v>
      </c>
      <c r="D3" s="3"/>
      <c r="E3" s="9" t="s">
        <v>73</v>
      </c>
      <c r="F3" s="9" t="s">
        <v>74</v>
      </c>
      <c r="G3" s="9" t="s">
        <v>83</v>
      </c>
      <c r="H3" s="9" t="s">
        <v>55</v>
      </c>
    </row>
    <row r="4" spans="1:8" x14ac:dyDescent="0.3">
      <c r="A4" s="9">
        <v>1</v>
      </c>
      <c r="B4" s="44">
        <v>12</v>
      </c>
      <c r="C4" s="45" t="s">
        <v>76</v>
      </c>
      <c r="D4" s="3"/>
      <c r="E4" s="46">
        <f>B6+B8+B10</f>
        <v>36</v>
      </c>
      <c r="F4" s="47" t="s">
        <v>77</v>
      </c>
      <c r="G4" s="48">
        <v>14.3</v>
      </c>
      <c r="H4" s="48">
        <f>E4*G4</f>
        <v>514.80000000000007</v>
      </c>
    </row>
    <row r="5" spans="1:8" x14ac:dyDescent="0.3">
      <c r="A5" s="9"/>
      <c r="B5" s="44">
        <v>6</v>
      </c>
      <c r="C5" s="45" t="s">
        <v>75</v>
      </c>
      <c r="D5" s="3"/>
      <c r="E5" s="49">
        <f>B12</f>
        <v>12</v>
      </c>
      <c r="F5" s="50" t="s">
        <v>78</v>
      </c>
      <c r="G5" s="48">
        <v>20.12</v>
      </c>
      <c r="H5" s="48">
        <f t="shared" ref="H5:H8" si="0">E5*G5</f>
        <v>241.44</v>
      </c>
    </row>
    <row r="6" spans="1:8" x14ac:dyDescent="0.3">
      <c r="A6" s="9">
        <v>2</v>
      </c>
      <c r="B6" s="44">
        <v>12</v>
      </c>
      <c r="C6" s="45" t="s">
        <v>77</v>
      </c>
      <c r="D6" s="3"/>
      <c r="E6" s="49">
        <f>B4</f>
        <v>12</v>
      </c>
      <c r="F6" s="50" t="s">
        <v>76</v>
      </c>
      <c r="G6" s="48">
        <v>21.32</v>
      </c>
      <c r="H6" s="48">
        <f t="shared" si="0"/>
        <v>255.84</v>
      </c>
    </row>
    <row r="7" spans="1:8" x14ac:dyDescent="0.3">
      <c r="A7" s="9"/>
      <c r="B7" s="44">
        <v>6</v>
      </c>
      <c r="C7" s="45" t="s">
        <v>75</v>
      </c>
      <c r="D7" s="3"/>
      <c r="E7" s="49">
        <f>B5+B7+B9+B11+B13+B15+B17+B19</f>
        <v>48</v>
      </c>
      <c r="F7" s="50" t="s">
        <v>75</v>
      </c>
      <c r="G7" s="48">
        <v>25.24</v>
      </c>
      <c r="H7" s="48">
        <f t="shared" si="0"/>
        <v>1211.52</v>
      </c>
    </row>
    <row r="8" spans="1:8" x14ac:dyDescent="0.3">
      <c r="A8" s="9">
        <v>3</v>
      </c>
      <c r="B8" s="44">
        <v>12</v>
      </c>
      <c r="C8" s="45" t="s">
        <v>77</v>
      </c>
      <c r="D8" s="3"/>
      <c r="E8" s="49">
        <f>B14+B16+B18</f>
        <v>36</v>
      </c>
      <c r="F8" s="50" t="s">
        <v>79</v>
      </c>
      <c r="G8" s="48">
        <v>28.15</v>
      </c>
      <c r="H8" s="48">
        <f t="shared" si="0"/>
        <v>1013.4</v>
      </c>
    </row>
    <row r="9" spans="1:8" x14ac:dyDescent="0.3">
      <c r="A9" s="9"/>
      <c r="B9" s="44">
        <v>6</v>
      </c>
      <c r="C9" s="45" t="s">
        <v>75</v>
      </c>
      <c r="D9" s="3"/>
      <c r="E9" s="51">
        <f>SUM(E4:E8)</f>
        <v>144</v>
      </c>
      <c r="F9" s="22"/>
      <c r="G9" s="22"/>
      <c r="H9" s="60">
        <f>SUM(H4:H8)</f>
        <v>3237</v>
      </c>
    </row>
    <row r="10" spans="1:8" x14ac:dyDescent="0.3">
      <c r="A10" s="9">
        <v>4</v>
      </c>
      <c r="B10" s="44">
        <v>12</v>
      </c>
      <c r="C10" s="45" t="s">
        <v>77</v>
      </c>
      <c r="D10" s="3"/>
      <c r="E10" s="1"/>
      <c r="F10" s="1"/>
      <c r="G10" s="1"/>
      <c r="H10" s="1"/>
    </row>
    <row r="11" spans="1:8" x14ac:dyDescent="0.3">
      <c r="A11" s="9"/>
      <c r="B11" s="44">
        <v>6</v>
      </c>
      <c r="C11" s="45" t="s">
        <v>75</v>
      </c>
      <c r="D11" s="3"/>
      <c r="E11" s="1"/>
      <c r="F11" s="1"/>
      <c r="G11" s="1"/>
      <c r="H11" s="1"/>
    </row>
    <row r="12" spans="1:8" x14ac:dyDescent="0.3">
      <c r="A12" s="9">
        <v>5</v>
      </c>
      <c r="B12" s="44">
        <v>12</v>
      </c>
      <c r="C12" s="45" t="s">
        <v>78</v>
      </c>
      <c r="D12" s="3"/>
      <c r="E12" s="1"/>
      <c r="F12" s="1"/>
      <c r="G12" s="1"/>
      <c r="H12" s="1"/>
    </row>
    <row r="13" spans="1:8" x14ac:dyDescent="0.3">
      <c r="A13" s="9"/>
      <c r="B13" s="44">
        <v>6</v>
      </c>
      <c r="C13" s="45" t="s">
        <v>75</v>
      </c>
      <c r="D13" s="3"/>
      <c r="E13" s="1"/>
      <c r="F13" s="1"/>
      <c r="G13" s="1"/>
      <c r="H13" s="1"/>
    </row>
    <row r="14" spans="1:8" x14ac:dyDescent="0.3">
      <c r="A14" s="9">
        <v>6</v>
      </c>
      <c r="B14" s="44">
        <v>12</v>
      </c>
      <c r="C14" s="45" t="s">
        <v>79</v>
      </c>
      <c r="D14" s="3"/>
      <c r="E14" s="1"/>
      <c r="F14" s="1"/>
      <c r="G14" s="1"/>
      <c r="H14" s="1"/>
    </row>
    <row r="15" spans="1:8" x14ac:dyDescent="0.3">
      <c r="A15" s="9"/>
      <c r="B15" s="44">
        <v>6</v>
      </c>
      <c r="C15" s="45" t="s">
        <v>75</v>
      </c>
      <c r="D15" s="3"/>
      <c r="E15" s="1"/>
      <c r="F15" s="1"/>
      <c r="G15" s="1"/>
      <c r="H15" s="1"/>
    </row>
    <row r="16" spans="1:8" x14ac:dyDescent="0.3">
      <c r="A16" s="9">
        <v>7</v>
      </c>
      <c r="B16" s="44">
        <v>12</v>
      </c>
      <c r="C16" s="45" t="s">
        <v>79</v>
      </c>
      <c r="D16" s="3"/>
      <c r="E16" s="1"/>
      <c r="F16" s="1"/>
      <c r="G16" s="1"/>
      <c r="H16" s="1"/>
    </row>
    <row r="17" spans="1:8" x14ac:dyDescent="0.3">
      <c r="A17" s="9"/>
      <c r="B17" s="44">
        <v>6</v>
      </c>
      <c r="C17" s="45" t="s">
        <v>75</v>
      </c>
      <c r="D17" s="3"/>
      <c r="E17" s="1"/>
      <c r="F17" s="1"/>
      <c r="G17" s="1"/>
      <c r="H17" s="1"/>
    </row>
    <row r="18" spans="1:8" x14ac:dyDescent="0.3">
      <c r="A18" s="9">
        <v>8</v>
      </c>
      <c r="B18" s="44">
        <v>12</v>
      </c>
      <c r="C18" s="45" t="s">
        <v>79</v>
      </c>
      <c r="D18" s="3"/>
      <c r="E18" s="1"/>
      <c r="F18" s="1"/>
      <c r="G18" s="1"/>
      <c r="H18" s="1"/>
    </row>
    <row r="19" spans="1:8" x14ac:dyDescent="0.3">
      <c r="A19" s="9"/>
      <c r="B19" s="44">
        <v>6</v>
      </c>
      <c r="C19" s="45" t="s">
        <v>75</v>
      </c>
      <c r="D19" s="3"/>
      <c r="E19" s="1"/>
      <c r="F19" s="1"/>
      <c r="G19" s="1"/>
      <c r="H19" s="1"/>
    </row>
    <row r="20" spans="1:8" x14ac:dyDescent="0.3">
      <c r="A20" s="9"/>
      <c r="B20" s="52">
        <f>SUM(B4:B19)</f>
        <v>144</v>
      </c>
      <c r="C20" s="45"/>
      <c r="D20" s="3"/>
      <c r="E20" s="1"/>
      <c r="F20" s="1"/>
      <c r="G20" s="1"/>
      <c r="H20" s="1"/>
    </row>
    <row r="21" spans="1:8" x14ac:dyDescent="0.3">
      <c r="A21" s="53"/>
      <c r="B21" s="3"/>
      <c r="C21" s="3"/>
      <c r="D21" s="3"/>
      <c r="E21" s="1"/>
      <c r="F21" s="1"/>
      <c r="G21" s="1"/>
      <c r="H21" s="1"/>
    </row>
    <row r="22" spans="1:8" x14ac:dyDescent="0.3">
      <c r="A22" s="42" t="s">
        <v>82</v>
      </c>
      <c r="B22" s="3"/>
      <c r="C22" s="3"/>
      <c r="D22" s="1"/>
      <c r="E22" s="1"/>
      <c r="F22" s="1"/>
      <c r="G22" s="1"/>
      <c r="H22" s="1"/>
    </row>
    <row r="23" spans="1:8" x14ac:dyDescent="0.3">
      <c r="A23" s="43"/>
      <c r="B23" s="3"/>
      <c r="C23" s="3"/>
      <c r="D23" s="1"/>
      <c r="E23" s="1"/>
      <c r="F23" s="1"/>
      <c r="G23" s="1"/>
      <c r="H23" s="1"/>
    </row>
    <row r="24" spans="1:8" x14ac:dyDescent="0.3">
      <c r="A24" s="9" t="s">
        <v>84</v>
      </c>
      <c r="B24" s="9" t="s">
        <v>73</v>
      </c>
      <c r="C24" s="9" t="s">
        <v>74</v>
      </c>
      <c r="D24" s="1"/>
      <c r="E24" s="9" t="s">
        <v>73</v>
      </c>
      <c r="F24" s="9" t="s">
        <v>74</v>
      </c>
      <c r="G24" s="9" t="s">
        <v>83</v>
      </c>
      <c r="H24" s="9" t="s">
        <v>55</v>
      </c>
    </row>
    <row r="25" spans="1:8" x14ac:dyDescent="0.3">
      <c r="A25" s="9">
        <v>1</v>
      </c>
      <c r="B25" s="44">
        <v>5</v>
      </c>
      <c r="C25" s="45" t="s">
        <v>75</v>
      </c>
      <c r="D25" s="1"/>
      <c r="E25" s="46">
        <f>B25+B28</f>
        <v>9</v>
      </c>
      <c r="F25" s="47" t="s">
        <v>75</v>
      </c>
      <c r="G25" s="48">
        <v>56.32</v>
      </c>
      <c r="H25" s="48">
        <f>E25*G25</f>
        <v>506.88</v>
      </c>
    </row>
    <row r="26" spans="1:8" x14ac:dyDescent="0.3">
      <c r="A26" s="9">
        <v>2</v>
      </c>
      <c r="B26" s="44">
        <v>3</v>
      </c>
      <c r="C26" s="45" t="s">
        <v>80</v>
      </c>
      <c r="D26" s="1"/>
      <c r="E26" s="49">
        <f>B26+B27+B29+B30+B31+B32</f>
        <v>29</v>
      </c>
      <c r="F26" s="50" t="s">
        <v>80</v>
      </c>
      <c r="G26" s="48">
        <v>61.2</v>
      </c>
      <c r="H26" s="48">
        <f>E26*G26</f>
        <v>1774.8000000000002</v>
      </c>
    </row>
    <row r="27" spans="1:8" x14ac:dyDescent="0.3">
      <c r="A27" s="9">
        <v>3</v>
      </c>
      <c r="B27" s="44">
        <v>3</v>
      </c>
      <c r="C27" s="45" t="s">
        <v>80</v>
      </c>
      <c r="D27" s="1"/>
      <c r="E27" s="51">
        <f>SUM(E25:E26)</f>
        <v>38</v>
      </c>
      <c r="F27" s="22"/>
      <c r="G27" s="22"/>
      <c r="H27" s="60">
        <f>SUM(H25:H26)</f>
        <v>2281.6800000000003</v>
      </c>
    </row>
    <row r="28" spans="1:8" x14ac:dyDescent="0.3">
      <c r="A28" s="9">
        <v>4</v>
      </c>
      <c r="B28" s="44">
        <v>4</v>
      </c>
      <c r="C28" s="45" t="s">
        <v>75</v>
      </c>
      <c r="D28" s="1"/>
      <c r="E28" s="1"/>
      <c r="F28" s="1"/>
      <c r="G28" s="1"/>
      <c r="H28" s="1"/>
    </row>
    <row r="29" spans="1:8" x14ac:dyDescent="0.3">
      <c r="A29" s="9">
        <v>5</v>
      </c>
      <c r="B29" s="44">
        <v>4</v>
      </c>
      <c r="C29" s="45" t="s">
        <v>80</v>
      </c>
      <c r="D29" s="1"/>
      <c r="E29" s="1"/>
      <c r="F29" s="1"/>
      <c r="G29" s="1"/>
      <c r="H29" s="1"/>
    </row>
    <row r="30" spans="1:8" x14ac:dyDescent="0.3">
      <c r="A30" s="9">
        <v>6</v>
      </c>
      <c r="B30" s="44">
        <v>6</v>
      </c>
      <c r="C30" s="45" t="s">
        <v>80</v>
      </c>
      <c r="D30" s="1"/>
      <c r="E30" s="1"/>
      <c r="F30" s="1"/>
      <c r="G30" s="1"/>
      <c r="H30" s="1"/>
    </row>
    <row r="31" spans="1:8" x14ac:dyDescent="0.3">
      <c r="A31" s="9">
        <v>7</v>
      </c>
      <c r="B31" s="44">
        <v>6</v>
      </c>
      <c r="C31" s="45" t="s">
        <v>80</v>
      </c>
      <c r="D31" s="1"/>
      <c r="E31" s="1"/>
      <c r="F31" s="1"/>
      <c r="G31" s="1"/>
      <c r="H31" s="1"/>
    </row>
    <row r="32" spans="1:8" x14ac:dyDescent="0.3">
      <c r="A32" s="9">
        <v>8</v>
      </c>
      <c r="B32" s="44">
        <v>7</v>
      </c>
      <c r="C32" s="45" t="s">
        <v>80</v>
      </c>
      <c r="D32" s="1"/>
      <c r="E32" s="1"/>
      <c r="F32" s="1"/>
      <c r="G32" s="1"/>
      <c r="H32" s="1"/>
    </row>
    <row r="33" spans="1:8" x14ac:dyDescent="0.3">
      <c r="A33" s="9"/>
      <c r="B33" s="52">
        <f>SUM(B25:B32)</f>
        <v>38</v>
      </c>
      <c r="C33" s="45"/>
      <c r="D33" s="3"/>
      <c r="E33" s="1"/>
      <c r="F33" s="1"/>
      <c r="G33" s="1"/>
      <c r="H33" s="60">
        <f>H9+H27</f>
        <v>5518.68</v>
      </c>
    </row>
  </sheetData>
  <pageMargins left="0.7" right="0.7" top="0.75" bottom="0.75" header="0.3" footer="0.3"/>
  <pageSetup paperSize="9" orientation="portrait" horizont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workbookViewId="0">
      <selection activeCell="A22" sqref="A22"/>
    </sheetView>
  </sheetViews>
  <sheetFormatPr defaultColWidth="8.88671875" defaultRowHeight="14.4" x14ac:dyDescent="0.3"/>
  <cols>
    <col min="1" max="1" width="30.88671875" style="55" customWidth="1"/>
    <col min="2" max="2" width="6.88671875" style="54" customWidth="1"/>
    <col min="3" max="3" width="8.88671875" style="55" customWidth="1"/>
    <col min="4" max="4" width="11" style="55" bestFit="1" customWidth="1"/>
    <col min="5" max="5" width="8.88671875" style="55"/>
    <col min="6" max="6" width="11.33203125" style="55" bestFit="1" customWidth="1"/>
    <col min="7" max="16384" width="8.88671875" style="55"/>
  </cols>
  <sheetData>
    <row r="1" spans="1:6" x14ac:dyDescent="0.3">
      <c r="A1" s="13" t="s">
        <v>88</v>
      </c>
      <c r="D1" s="1"/>
    </row>
    <row r="2" spans="1:6" x14ac:dyDescent="0.3">
      <c r="A2" s="13"/>
      <c r="D2" s="1"/>
    </row>
    <row r="3" spans="1:6" x14ac:dyDescent="0.3">
      <c r="A3" s="1" t="s">
        <v>93</v>
      </c>
      <c r="B3" s="57"/>
      <c r="C3" s="1" t="s">
        <v>101</v>
      </c>
      <c r="D3" s="1"/>
    </row>
    <row r="4" spans="1:6" x14ac:dyDescent="0.3">
      <c r="A4" s="1" t="s">
        <v>89</v>
      </c>
      <c r="B4" s="57"/>
      <c r="C4" s="1" t="s">
        <v>100</v>
      </c>
      <c r="D4" s="1"/>
    </row>
    <row r="5" spans="1:6" x14ac:dyDescent="0.3">
      <c r="A5" s="1" t="s">
        <v>90</v>
      </c>
      <c r="B5" s="57"/>
      <c r="C5" s="1" t="s">
        <v>91</v>
      </c>
      <c r="D5" s="1"/>
    </row>
    <row r="6" spans="1:6" x14ac:dyDescent="0.3">
      <c r="A6" s="1"/>
      <c r="D6" s="1"/>
    </row>
    <row r="7" spans="1:6" x14ac:dyDescent="0.3">
      <c r="A7" s="17" t="s">
        <v>86</v>
      </c>
      <c r="B7" s="17" t="s">
        <v>87</v>
      </c>
      <c r="C7" s="17" t="s">
        <v>83</v>
      </c>
      <c r="D7" s="17" t="s">
        <v>55</v>
      </c>
    </row>
    <row r="8" spans="1:6" x14ac:dyDescent="0.3">
      <c r="A8" s="18" t="s">
        <v>98</v>
      </c>
      <c r="B8" s="50">
        <v>159</v>
      </c>
      <c r="C8" s="48">
        <v>19.2</v>
      </c>
      <c r="D8" s="48">
        <f>B8*C8</f>
        <v>3052.7999999999997</v>
      </c>
      <c r="F8" s="58"/>
    </row>
    <row r="9" spans="1:6" x14ac:dyDescent="0.3">
      <c r="A9" s="22" t="s">
        <v>99</v>
      </c>
      <c r="B9" s="50">
        <v>447</v>
      </c>
      <c r="C9" s="48">
        <v>18.600000000000001</v>
      </c>
      <c r="D9" s="48">
        <f>B9*C9</f>
        <v>8314.2000000000007</v>
      </c>
      <c r="F9" s="58"/>
    </row>
    <row r="10" spans="1:6" x14ac:dyDescent="0.3">
      <c r="A10" s="22" t="s">
        <v>92</v>
      </c>
      <c r="B10" s="50">
        <v>150</v>
      </c>
      <c r="C10" s="48">
        <v>12.5</v>
      </c>
      <c r="D10" s="48">
        <f>B10*C10</f>
        <v>1875</v>
      </c>
      <c r="F10" s="58"/>
    </row>
    <row r="11" spans="1:6" x14ac:dyDescent="0.3">
      <c r="A11" s="22"/>
      <c r="B11" s="50"/>
      <c r="C11" s="48"/>
      <c r="D11" s="48">
        <f>SUM(D8:D10)</f>
        <v>13242</v>
      </c>
    </row>
    <row r="12" spans="1:6" x14ac:dyDescent="0.3">
      <c r="A12" s="22" t="s">
        <v>94</v>
      </c>
      <c r="B12" s="50"/>
      <c r="C12" s="48"/>
      <c r="D12" s="48">
        <f>2281.68+3237</f>
        <v>5518.68</v>
      </c>
    </row>
    <row r="13" spans="1:6" x14ac:dyDescent="0.3">
      <c r="A13" s="22" t="s">
        <v>55</v>
      </c>
      <c r="B13" s="50"/>
      <c r="C13" s="48"/>
      <c r="D13" s="48">
        <f>D11-D12</f>
        <v>7723.32</v>
      </c>
    </row>
    <row r="14" spans="1:6" x14ac:dyDescent="0.3">
      <c r="A14" s="22" t="s">
        <v>102</v>
      </c>
      <c r="B14" s="50"/>
      <c r="C14" s="48"/>
      <c r="D14" s="48">
        <f>D13*10%</f>
        <v>772.33199999999999</v>
      </c>
    </row>
    <row r="15" spans="1:6" x14ac:dyDescent="0.3">
      <c r="A15" s="21" t="s">
        <v>95</v>
      </c>
      <c r="B15" s="50"/>
      <c r="C15" s="48"/>
      <c r="D15" s="62">
        <f>D13+D14</f>
        <v>8495.652</v>
      </c>
    </row>
    <row r="18" spans="1:4" x14ac:dyDescent="0.3">
      <c r="A18" s="13" t="s">
        <v>115</v>
      </c>
      <c r="B18" s="57"/>
      <c r="C18" s="1"/>
      <c r="D18" s="1"/>
    </row>
    <row r="19" spans="1:4" x14ac:dyDescent="0.3">
      <c r="A19" s="21" t="s">
        <v>96</v>
      </c>
      <c r="B19" s="17" t="s">
        <v>87</v>
      </c>
      <c r="C19" s="17" t="s">
        <v>83</v>
      </c>
      <c r="D19" s="17" t="s">
        <v>55</v>
      </c>
    </row>
    <row r="20" spans="1:4" x14ac:dyDescent="0.3">
      <c r="A20" s="22" t="s">
        <v>97</v>
      </c>
      <c r="B20" s="50">
        <f>24*2</f>
        <v>48</v>
      </c>
      <c r="C20" s="48">
        <v>51.5</v>
      </c>
      <c r="D20" s="48">
        <f>B20*C20</f>
        <v>2472</v>
      </c>
    </row>
    <row r="21" spans="1:4" x14ac:dyDescent="0.3">
      <c r="A21" s="22" t="s">
        <v>116</v>
      </c>
      <c r="B21" s="50">
        <f>32*2</f>
        <v>64</v>
      </c>
      <c r="C21" s="48">
        <v>51.5</v>
      </c>
      <c r="D21" s="48">
        <f>B21*C21</f>
        <v>3296</v>
      </c>
    </row>
    <row r="22" spans="1:4" x14ac:dyDescent="0.3">
      <c r="A22" s="22"/>
      <c r="B22" s="50"/>
      <c r="C22" s="48"/>
      <c r="D22" s="62">
        <f>SUM(D20:D21)</f>
        <v>5768</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A9" sqref="A9"/>
    </sheetView>
  </sheetViews>
  <sheetFormatPr defaultRowHeight="14.4" x14ac:dyDescent="0.3"/>
  <cols>
    <col min="1" max="1" width="36.6640625" customWidth="1"/>
    <col min="2" max="2" width="5.33203125" style="40" customWidth="1"/>
    <col min="3" max="3" width="7.88671875" customWidth="1"/>
    <col min="4" max="4" width="10" bestFit="1" customWidth="1"/>
  </cols>
  <sheetData>
    <row r="1" spans="1:4" x14ac:dyDescent="0.3">
      <c r="A1" s="13" t="s">
        <v>85</v>
      </c>
      <c r="B1" s="54"/>
      <c r="C1" s="55"/>
      <c r="D1" s="1"/>
    </row>
    <row r="2" spans="1:4" x14ac:dyDescent="0.3">
      <c r="A2" s="13"/>
      <c r="B2" s="54"/>
      <c r="C2" s="55"/>
      <c r="D2" s="1"/>
    </row>
    <row r="3" spans="1:4" x14ac:dyDescent="0.3">
      <c r="A3" s="17" t="s">
        <v>86</v>
      </c>
      <c r="B3" s="17" t="s">
        <v>87</v>
      </c>
      <c r="C3" s="17" t="s">
        <v>83</v>
      </c>
      <c r="D3" s="17" t="s">
        <v>55</v>
      </c>
    </row>
    <row r="4" spans="1:4" ht="28.2" x14ac:dyDescent="0.3">
      <c r="A4" s="18" t="s">
        <v>104</v>
      </c>
      <c r="B4" s="50">
        <v>8</v>
      </c>
      <c r="C4" s="59">
        <v>32.35</v>
      </c>
      <c r="D4" s="59">
        <f>B4*C4</f>
        <v>258.8</v>
      </c>
    </row>
    <row r="5" spans="1:4" ht="28.2" x14ac:dyDescent="0.3">
      <c r="A5" s="18" t="s">
        <v>107</v>
      </c>
      <c r="B5" s="50">
        <v>8</v>
      </c>
      <c r="C5" s="48">
        <v>48</v>
      </c>
      <c r="D5" s="48">
        <f>B5*C5</f>
        <v>384</v>
      </c>
    </row>
    <row r="6" spans="1:4" x14ac:dyDescent="0.3">
      <c r="A6" s="22" t="s">
        <v>103</v>
      </c>
      <c r="B6" s="50">
        <v>8</v>
      </c>
      <c r="C6" s="48">
        <v>66.5</v>
      </c>
      <c r="D6" s="48">
        <f>B6*C6</f>
        <v>532</v>
      </c>
    </row>
    <row r="7" spans="1:4" ht="29.4" customHeight="1" x14ac:dyDescent="0.3">
      <c r="A7" s="18" t="s">
        <v>105</v>
      </c>
      <c r="B7" s="50">
        <v>8</v>
      </c>
      <c r="C7" s="48">
        <v>29.5</v>
      </c>
      <c r="D7" s="48">
        <f t="shared" ref="D7:D8" si="0">B7*C7</f>
        <v>236</v>
      </c>
    </row>
    <row r="8" spans="1:4" ht="32.25" customHeight="1" x14ac:dyDescent="0.3">
      <c r="A8" s="18" t="s">
        <v>106</v>
      </c>
      <c r="B8" s="50">
        <v>8</v>
      </c>
      <c r="C8" s="48">
        <v>20.420000000000002</v>
      </c>
      <c r="D8" s="48">
        <f t="shared" si="0"/>
        <v>163.36000000000001</v>
      </c>
    </row>
    <row r="9" spans="1:4" x14ac:dyDescent="0.3">
      <c r="A9" s="21" t="s">
        <v>55</v>
      </c>
      <c r="B9" s="17"/>
      <c r="C9" s="56"/>
      <c r="D9" s="62">
        <f>SUM(D4:D8)</f>
        <v>1574.1599999999999</v>
      </c>
    </row>
    <row r="10" spans="1:4" ht="15.6" x14ac:dyDescent="0.3">
      <c r="A10" s="35"/>
      <c r="B10" s="41"/>
      <c r="C10" s="35"/>
      <c r="D10" s="35"/>
    </row>
    <row r="11" spans="1:4" ht="15.6" x14ac:dyDescent="0.3">
      <c r="A11" s="35"/>
      <c r="B11" s="41"/>
      <c r="C11" s="35"/>
      <c r="D11" s="35"/>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A3" sqref="A3:D12"/>
    </sheetView>
  </sheetViews>
  <sheetFormatPr defaultRowHeight="14.4" x14ac:dyDescent="0.3"/>
  <cols>
    <col min="1" max="1" width="36.6640625" customWidth="1"/>
    <col min="2" max="2" width="5.33203125" style="40" customWidth="1"/>
    <col min="3" max="3" width="8.5546875" bestFit="1" customWidth="1"/>
    <col min="4" max="4" width="10" bestFit="1" customWidth="1"/>
  </cols>
  <sheetData>
    <row r="1" spans="1:4" x14ac:dyDescent="0.3">
      <c r="A1" s="13" t="s">
        <v>111</v>
      </c>
      <c r="B1" s="54"/>
      <c r="C1" s="55"/>
      <c r="D1" s="1"/>
    </row>
    <row r="2" spans="1:4" x14ac:dyDescent="0.3">
      <c r="A2" s="13"/>
      <c r="B2" s="54"/>
      <c r="C2" s="55"/>
      <c r="D2" s="1"/>
    </row>
    <row r="3" spans="1:4" x14ac:dyDescent="0.3">
      <c r="A3" s="17" t="s">
        <v>86</v>
      </c>
      <c r="B3" s="17" t="s">
        <v>87</v>
      </c>
      <c r="C3" s="17" t="s">
        <v>83</v>
      </c>
      <c r="D3" s="17" t="s">
        <v>55</v>
      </c>
    </row>
    <row r="4" spans="1:4" ht="28.2" x14ac:dyDescent="0.3">
      <c r="A4" s="18" t="s">
        <v>104</v>
      </c>
      <c r="B4" s="50">
        <v>8</v>
      </c>
      <c r="C4" s="59">
        <v>32.35</v>
      </c>
      <c r="D4" s="59">
        <f>B4*C4</f>
        <v>258.8</v>
      </c>
    </row>
    <row r="5" spans="1:4" ht="28.2" x14ac:dyDescent="0.3">
      <c r="A5" s="18" t="s">
        <v>107</v>
      </c>
      <c r="B5" s="50">
        <v>8</v>
      </c>
      <c r="C5" s="48">
        <v>48</v>
      </c>
      <c r="D5" s="48">
        <f>B5*C5</f>
        <v>384</v>
      </c>
    </row>
    <row r="6" spans="1:4" x14ac:dyDescent="0.3">
      <c r="A6" s="22" t="s">
        <v>103</v>
      </c>
      <c r="B6" s="50">
        <v>8</v>
      </c>
      <c r="C6" s="48">
        <v>66.5</v>
      </c>
      <c r="D6" s="48">
        <f>B6*C6</f>
        <v>532</v>
      </c>
    </row>
    <row r="7" spans="1:4" ht="29.4" customHeight="1" x14ac:dyDescent="0.3">
      <c r="A7" s="18" t="s">
        <v>105</v>
      </c>
      <c r="B7" s="50">
        <v>8</v>
      </c>
      <c r="C7" s="48">
        <v>29.5</v>
      </c>
      <c r="D7" s="48">
        <f t="shared" ref="D7:D9" si="0">B7*C7</f>
        <v>236</v>
      </c>
    </row>
    <row r="8" spans="1:4" ht="33" customHeight="1" x14ac:dyDescent="0.3">
      <c r="A8" s="18" t="s">
        <v>106</v>
      </c>
      <c r="B8" s="50">
        <v>8</v>
      </c>
      <c r="C8" s="48">
        <v>20.420000000000002</v>
      </c>
      <c r="D8" s="48">
        <f t="shared" si="0"/>
        <v>163.36000000000001</v>
      </c>
    </row>
    <row r="9" spans="1:4" x14ac:dyDescent="0.3">
      <c r="A9" s="18" t="s">
        <v>108</v>
      </c>
      <c r="B9" s="50">
        <v>8</v>
      </c>
      <c r="C9" s="48">
        <v>587.25</v>
      </c>
      <c r="D9" s="48">
        <f t="shared" si="0"/>
        <v>4698</v>
      </c>
    </row>
    <row r="10" spans="1:4" x14ac:dyDescent="0.3">
      <c r="A10" s="18" t="s">
        <v>109</v>
      </c>
      <c r="B10" s="50">
        <v>112</v>
      </c>
      <c r="C10" s="48">
        <v>6.4</v>
      </c>
      <c r="D10" s="48">
        <f>B10*C10</f>
        <v>716.80000000000007</v>
      </c>
    </row>
    <row r="11" spans="1:4" x14ac:dyDescent="0.3">
      <c r="A11" s="18" t="s">
        <v>110</v>
      </c>
      <c r="B11" s="50">
        <v>150</v>
      </c>
      <c r="C11" s="48">
        <v>6.4</v>
      </c>
      <c r="D11" s="48">
        <f>B11*C11</f>
        <v>960</v>
      </c>
    </row>
    <row r="12" spans="1:4" x14ac:dyDescent="0.3">
      <c r="A12" s="21" t="s">
        <v>55</v>
      </c>
      <c r="B12" s="17"/>
      <c r="C12" s="56"/>
      <c r="D12" s="62">
        <f>SUM(D4:D11)</f>
        <v>7948.96</v>
      </c>
    </row>
    <row r="13" spans="1:4" ht="15.6" x14ac:dyDescent="0.3">
      <c r="A13" s="35"/>
      <c r="B13" s="41"/>
      <c r="C13" s="35"/>
      <c r="D13" s="35"/>
    </row>
    <row r="14" spans="1:4" ht="15.6" x14ac:dyDescent="0.3">
      <c r="A14" s="35"/>
      <c r="B14" s="41"/>
      <c r="C14" s="35"/>
      <c r="D14" s="35"/>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tabSelected="1" workbookViewId="0"/>
  </sheetViews>
  <sheetFormatPr defaultRowHeight="14.4" x14ac:dyDescent="0.3"/>
  <cols>
    <col min="1" max="1" width="39.109375" customWidth="1"/>
    <col min="2" max="2" width="6.44140625" customWidth="1"/>
    <col min="3" max="3" width="9.88671875" customWidth="1"/>
    <col min="4" max="4" width="11.6640625" customWidth="1"/>
  </cols>
  <sheetData>
    <row r="1" spans="1:5" x14ac:dyDescent="0.3">
      <c r="A1" s="69" t="s">
        <v>117</v>
      </c>
      <c r="B1" s="68"/>
      <c r="C1" s="68"/>
      <c r="D1" s="1"/>
      <c r="E1" s="1"/>
    </row>
    <row r="2" spans="1:5" x14ac:dyDescent="0.3">
      <c r="A2" s="17" t="s">
        <v>118</v>
      </c>
      <c r="B2" s="70" t="s">
        <v>73</v>
      </c>
      <c r="C2" s="17" t="s">
        <v>119</v>
      </c>
      <c r="D2" s="17" t="s">
        <v>55</v>
      </c>
      <c r="E2" s="1"/>
    </row>
    <row r="3" spans="1:5" ht="34.5" customHeight="1" x14ac:dyDescent="0.3">
      <c r="A3" s="73" t="s">
        <v>128</v>
      </c>
      <c r="B3" s="49">
        <v>3</v>
      </c>
      <c r="C3" s="48">
        <v>36.4</v>
      </c>
      <c r="D3" s="48">
        <f t="shared" ref="D3:D11" si="0">B3*C3</f>
        <v>109.19999999999999</v>
      </c>
      <c r="E3" s="1"/>
    </row>
    <row r="4" spans="1:5" ht="28.2" x14ac:dyDescent="0.3">
      <c r="A4" s="18" t="s">
        <v>131</v>
      </c>
      <c r="B4" s="49">
        <v>9</v>
      </c>
      <c r="C4" s="48">
        <v>36.4</v>
      </c>
      <c r="D4" s="48">
        <f t="shared" si="0"/>
        <v>327.59999999999997</v>
      </c>
      <c r="E4" s="1"/>
    </row>
    <row r="5" spans="1:5" ht="28.2" x14ac:dyDescent="0.3">
      <c r="A5" s="18" t="s">
        <v>121</v>
      </c>
      <c r="B5" s="49">
        <v>3</v>
      </c>
      <c r="C5" s="48">
        <v>123.5</v>
      </c>
      <c r="D5" s="48">
        <f t="shared" si="0"/>
        <v>370.5</v>
      </c>
      <c r="E5" s="1"/>
    </row>
    <row r="6" spans="1:5" ht="28.2" x14ac:dyDescent="0.3">
      <c r="A6" s="18" t="s">
        <v>107</v>
      </c>
      <c r="B6" s="49">
        <v>6</v>
      </c>
      <c r="C6" s="48">
        <v>48</v>
      </c>
      <c r="D6" s="48">
        <f t="shared" si="0"/>
        <v>288</v>
      </c>
      <c r="E6" s="1"/>
    </row>
    <row r="7" spans="1:5" x14ac:dyDescent="0.3">
      <c r="A7" s="22" t="s">
        <v>103</v>
      </c>
      <c r="B7" s="49">
        <v>6</v>
      </c>
      <c r="C7" s="48">
        <v>66.5</v>
      </c>
      <c r="D7" s="48">
        <f t="shared" si="0"/>
        <v>399</v>
      </c>
      <c r="E7" s="1"/>
    </row>
    <row r="8" spans="1:5" ht="18" customHeight="1" x14ac:dyDescent="0.3">
      <c r="A8" s="18" t="s">
        <v>122</v>
      </c>
      <c r="B8" s="49">
        <v>3</v>
      </c>
      <c r="C8" s="48">
        <v>159</v>
      </c>
      <c r="D8" s="48">
        <f t="shared" si="0"/>
        <v>477</v>
      </c>
      <c r="E8" s="1"/>
    </row>
    <row r="9" spans="1:5" x14ac:dyDescent="0.3">
      <c r="A9" s="18" t="s">
        <v>129</v>
      </c>
      <c r="B9" s="49">
        <v>6</v>
      </c>
      <c r="C9" s="48">
        <v>20.420000000000002</v>
      </c>
      <c r="D9" s="48">
        <f t="shared" si="0"/>
        <v>122.52000000000001</v>
      </c>
      <c r="E9" s="1"/>
    </row>
    <row r="10" spans="1:5" x14ac:dyDescent="0.3">
      <c r="A10" s="22" t="s">
        <v>123</v>
      </c>
      <c r="B10" s="49">
        <v>3</v>
      </c>
      <c r="C10" s="48">
        <v>12.35</v>
      </c>
      <c r="D10" s="48">
        <f t="shared" si="0"/>
        <v>37.049999999999997</v>
      </c>
      <c r="E10" s="1"/>
    </row>
    <row r="11" spans="1:5" x14ac:dyDescent="0.3">
      <c r="A11" s="22" t="s">
        <v>109</v>
      </c>
      <c r="B11" s="49">
        <v>18</v>
      </c>
      <c r="C11" s="48">
        <v>6.4</v>
      </c>
      <c r="D11" s="48">
        <f t="shared" si="0"/>
        <v>115.2</v>
      </c>
      <c r="E11" s="1"/>
    </row>
    <row r="12" spans="1:5" x14ac:dyDescent="0.3">
      <c r="A12" s="22" t="s">
        <v>126</v>
      </c>
      <c r="B12" s="50"/>
      <c r="C12" s="48"/>
      <c r="D12" s="56">
        <f>SUM(D3:D11)</f>
        <v>2246.0700000000002</v>
      </c>
      <c r="E12" s="1"/>
    </row>
    <row r="13" spans="1:5" x14ac:dyDescent="0.3">
      <c r="A13" s="22" t="s">
        <v>120</v>
      </c>
      <c r="B13" s="49"/>
      <c r="C13" s="48"/>
      <c r="D13" s="48">
        <f>D12*10%</f>
        <v>224.60700000000003</v>
      </c>
      <c r="E13" s="1"/>
    </row>
    <row r="14" spans="1:5" x14ac:dyDescent="0.3">
      <c r="A14" s="22" t="s">
        <v>126</v>
      </c>
      <c r="B14" s="50"/>
      <c r="C14" s="48"/>
      <c r="D14" s="56">
        <f>D12+D13</f>
        <v>2470.6770000000001</v>
      </c>
      <c r="E14" s="1"/>
    </row>
    <row r="15" spans="1:5" x14ac:dyDescent="0.3">
      <c r="A15" s="22" t="s">
        <v>130</v>
      </c>
      <c r="B15" s="50"/>
      <c r="C15" s="48"/>
      <c r="D15" s="74">
        <v>-904.71</v>
      </c>
      <c r="E15" s="1"/>
    </row>
    <row r="16" spans="1:5" x14ac:dyDescent="0.3">
      <c r="A16" s="21" t="s">
        <v>126</v>
      </c>
      <c r="B16" s="50"/>
      <c r="C16" s="48"/>
      <c r="D16" s="56">
        <f>D14+D15</f>
        <v>1565.9670000000001</v>
      </c>
      <c r="E16" s="1"/>
    </row>
    <row r="17" spans="1:5" x14ac:dyDescent="0.3">
      <c r="A17" s="22" t="s">
        <v>102</v>
      </c>
      <c r="B17" s="50"/>
      <c r="C17" s="48"/>
      <c r="D17" s="48">
        <f>D16*10%</f>
        <v>156.59670000000003</v>
      </c>
      <c r="E17" s="1"/>
    </row>
    <row r="18" spans="1:5" x14ac:dyDescent="0.3">
      <c r="A18" s="91" t="s">
        <v>125</v>
      </c>
      <c r="B18" s="92"/>
      <c r="C18" s="62"/>
      <c r="D18" s="62">
        <f>D16+D17</f>
        <v>1722.5637000000002</v>
      </c>
      <c r="E18" s="1"/>
    </row>
    <row r="19" spans="1:5" x14ac:dyDescent="0.3">
      <c r="A19" s="1"/>
      <c r="B19" s="1"/>
      <c r="C19" s="1"/>
      <c r="D19" s="1"/>
      <c r="E19" s="1"/>
    </row>
    <row r="20" spans="1:5" x14ac:dyDescent="0.3">
      <c r="A20" s="13" t="s">
        <v>127</v>
      </c>
      <c r="B20" s="1"/>
      <c r="C20" s="1"/>
      <c r="D20" s="1"/>
    </row>
    <row r="21" spans="1:5" x14ac:dyDescent="0.3">
      <c r="A21" s="17" t="s">
        <v>86</v>
      </c>
      <c r="B21" s="17" t="s">
        <v>87</v>
      </c>
      <c r="C21" s="17" t="s">
        <v>83</v>
      </c>
      <c r="D21" s="17" t="s">
        <v>55</v>
      </c>
    </row>
    <row r="22" spans="1:5" ht="28.2" x14ac:dyDescent="0.3">
      <c r="A22" s="18" t="s">
        <v>124</v>
      </c>
      <c r="B22" s="50">
        <v>6</v>
      </c>
      <c r="C22" s="59">
        <v>36.4</v>
      </c>
      <c r="D22" s="71">
        <f>B22*C22</f>
        <v>218.39999999999998</v>
      </c>
    </row>
    <row r="23" spans="1:5" ht="28.2" x14ac:dyDescent="0.3">
      <c r="A23" s="18" t="s">
        <v>104</v>
      </c>
      <c r="B23" s="50">
        <v>3</v>
      </c>
      <c r="C23" s="59">
        <v>32.35</v>
      </c>
      <c r="D23" s="59">
        <f>B23*C23</f>
        <v>97.050000000000011</v>
      </c>
    </row>
    <row r="24" spans="1:5" ht="28.2" x14ac:dyDescent="0.3">
      <c r="A24" s="18" t="s">
        <v>107</v>
      </c>
      <c r="B24" s="50">
        <v>3</v>
      </c>
      <c r="C24" s="48">
        <v>48</v>
      </c>
      <c r="D24" s="48">
        <f>B24*C24</f>
        <v>144</v>
      </c>
    </row>
    <row r="25" spans="1:5" x14ac:dyDescent="0.3">
      <c r="A25" s="22" t="s">
        <v>103</v>
      </c>
      <c r="B25" s="50">
        <v>3</v>
      </c>
      <c r="C25" s="48">
        <v>66.5</v>
      </c>
      <c r="D25" s="48">
        <f>B25*C25</f>
        <v>199.5</v>
      </c>
    </row>
    <row r="26" spans="1:5" ht="16.5" customHeight="1" x14ac:dyDescent="0.3">
      <c r="A26" s="18" t="s">
        <v>132</v>
      </c>
      <c r="B26" s="50">
        <v>3</v>
      </c>
      <c r="C26" s="48">
        <v>29.5</v>
      </c>
      <c r="D26" s="48">
        <f t="shared" ref="D26:D27" si="1">B26*C26</f>
        <v>88.5</v>
      </c>
    </row>
    <row r="27" spans="1:5" x14ac:dyDescent="0.3">
      <c r="A27" s="18" t="s">
        <v>129</v>
      </c>
      <c r="B27" s="50">
        <v>3</v>
      </c>
      <c r="C27" s="48">
        <v>20.420000000000002</v>
      </c>
      <c r="D27" s="48">
        <f t="shared" si="1"/>
        <v>61.260000000000005</v>
      </c>
    </row>
    <row r="28" spans="1:5" x14ac:dyDescent="0.3">
      <c r="A28" s="18" t="s">
        <v>109</v>
      </c>
      <c r="B28" s="50">
        <v>15</v>
      </c>
      <c r="C28" s="48">
        <v>6.4</v>
      </c>
      <c r="D28" s="48">
        <f>B28*C28</f>
        <v>96</v>
      </c>
    </row>
    <row r="29" spans="1:5" x14ac:dyDescent="0.3">
      <c r="A29" s="75" t="s">
        <v>133</v>
      </c>
      <c r="B29" s="76"/>
      <c r="C29" s="77"/>
      <c r="D29" s="74">
        <f>SUM(D22:D28)</f>
        <v>904.71</v>
      </c>
    </row>
  </sheetData>
  <pageMargins left="0.7" right="0.7" top="0.75" bottom="0.75" header="0.3" footer="0.3"/>
  <pageSetup paperSize="9" orientation="portrait" r:id="rId1"/>
  <ignoredErrors>
    <ignoredError sqref="D14 D17"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B10" sqref="B10"/>
    </sheetView>
  </sheetViews>
  <sheetFormatPr defaultRowHeight="14.4" x14ac:dyDescent="0.3"/>
  <cols>
    <col min="1" max="1" width="14.33203125" customWidth="1"/>
    <col min="2" max="2" width="9.44140625" customWidth="1"/>
    <col min="3" max="3" width="8.88671875" customWidth="1"/>
  </cols>
  <sheetData>
    <row r="1" spans="1:4" x14ac:dyDescent="0.3">
      <c r="A1" s="28" t="s">
        <v>60</v>
      </c>
      <c r="B1" s="21">
        <f>21*3.3</f>
        <v>69.3</v>
      </c>
      <c r="C1" s="21" t="s">
        <v>22</v>
      </c>
      <c r="D1" s="1"/>
    </row>
    <row r="2" spans="1:4" x14ac:dyDescent="0.3">
      <c r="A2" s="28" t="s">
        <v>59</v>
      </c>
      <c r="B2" s="19">
        <f>1.8*2.4</f>
        <v>4.32</v>
      </c>
      <c r="C2" s="22" t="s">
        <v>22</v>
      </c>
      <c r="D2" s="1"/>
    </row>
    <row r="3" spans="1:4" x14ac:dyDescent="0.3">
      <c r="B3" s="19">
        <f>1.8*1.8</f>
        <v>3.24</v>
      </c>
      <c r="C3" s="22" t="s">
        <v>22</v>
      </c>
      <c r="D3" s="1"/>
    </row>
    <row r="4" spans="1:4" x14ac:dyDescent="0.3">
      <c r="B4" s="19">
        <f>0.6*0.9</f>
        <v>0.54</v>
      </c>
      <c r="C4" s="22" t="s">
        <v>22</v>
      </c>
      <c r="D4" s="1"/>
    </row>
    <row r="5" spans="1:4" x14ac:dyDescent="0.3">
      <c r="B5" s="19">
        <f>1.2*1.81</f>
        <v>2.1720000000000002</v>
      </c>
      <c r="C5" s="22" t="s">
        <v>22</v>
      </c>
      <c r="D5" s="1"/>
    </row>
    <row r="6" spans="1:4" x14ac:dyDescent="0.3">
      <c r="B6" s="19">
        <f>2.04*0.82</f>
        <v>1.6727999999999998</v>
      </c>
      <c r="C6" s="22" t="s">
        <v>22</v>
      </c>
      <c r="D6" s="1"/>
    </row>
    <row r="7" spans="1:4" x14ac:dyDescent="0.3">
      <c r="B7" s="19">
        <f>2.04*0.82</f>
        <v>1.6727999999999998</v>
      </c>
      <c r="C7" s="22" t="s">
        <v>22</v>
      </c>
      <c r="D7" s="1"/>
    </row>
    <row r="8" spans="1:4" x14ac:dyDescent="0.3">
      <c r="B8" s="20">
        <f>SUM(B2:B7)</f>
        <v>13.617600000000003</v>
      </c>
      <c r="C8" s="21" t="s">
        <v>22</v>
      </c>
      <c r="D8" s="1"/>
    </row>
    <row r="9" spans="1:4" x14ac:dyDescent="0.3">
      <c r="B9" s="20">
        <f>B1-B8</f>
        <v>55.682399999999994</v>
      </c>
      <c r="C9" s="21" t="s">
        <v>22</v>
      </c>
      <c r="D9" s="1"/>
    </row>
    <row r="10" spans="1:4" x14ac:dyDescent="0.3">
      <c r="B10" s="24">
        <f>B9*49</f>
        <v>2728.4375999999997</v>
      </c>
      <c r="C10" s="6" t="s">
        <v>61</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A23" sqref="A23"/>
    </sheetView>
  </sheetViews>
  <sheetFormatPr defaultRowHeight="14.4" x14ac:dyDescent="0.3"/>
  <cols>
    <col min="1" max="1" width="14.33203125" customWidth="1"/>
    <col min="2" max="2" width="10.33203125" bestFit="1" customWidth="1"/>
    <col min="3" max="3" width="17" customWidth="1"/>
    <col min="4" max="4" width="8.109375" customWidth="1"/>
  </cols>
  <sheetData>
    <row r="1" spans="1:4" ht="15.6" x14ac:dyDescent="0.3">
      <c r="A1" s="31"/>
      <c r="B1" s="32">
        <v>56</v>
      </c>
      <c r="C1" s="33" t="s">
        <v>22</v>
      </c>
      <c r="D1" s="33"/>
    </row>
    <row r="2" spans="1:4" ht="15.6" x14ac:dyDescent="0.3">
      <c r="A2" s="31"/>
      <c r="B2" s="34">
        <f>B1*49</f>
        <v>2744</v>
      </c>
      <c r="C2" s="39" t="s">
        <v>61</v>
      </c>
      <c r="D2" s="33"/>
    </row>
    <row r="3" spans="1:4" ht="15.6" x14ac:dyDescent="0.3">
      <c r="A3" s="35"/>
      <c r="B3" s="32">
        <f>B2/300</f>
        <v>9.1466666666666665</v>
      </c>
      <c r="C3" s="33" t="s">
        <v>65</v>
      </c>
      <c r="D3" s="33"/>
    </row>
    <row r="4" spans="1:4" ht="15.6" x14ac:dyDescent="0.3">
      <c r="A4" s="35"/>
      <c r="B4" s="64">
        <f>B3/3</f>
        <v>3.048888888888889</v>
      </c>
      <c r="C4" s="65" t="s">
        <v>68</v>
      </c>
      <c r="D4" s="66"/>
    </row>
    <row r="5" spans="1:4" ht="15.6" x14ac:dyDescent="0.3">
      <c r="A5" s="35"/>
      <c r="B5" s="32">
        <f>(3*8)*3</f>
        <v>72</v>
      </c>
      <c r="C5" s="33" t="s">
        <v>66</v>
      </c>
      <c r="D5" s="36">
        <v>34.200000000000003</v>
      </c>
    </row>
    <row r="6" spans="1:4" ht="15.6" x14ac:dyDescent="0.3">
      <c r="A6" s="35"/>
      <c r="B6" s="32">
        <f>3*8</f>
        <v>24</v>
      </c>
      <c r="C6" s="32" t="s">
        <v>67</v>
      </c>
      <c r="D6" s="36">
        <v>26.4</v>
      </c>
    </row>
    <row r="7" spans="1:4" ht="15.6" x14ac:dyDescent="0.3">
      <c r="A7" s="35"/>
      <c r="B7" s="36">
        <f>72*34.2</f>
        <v>2462.4</v>
      </c>
      <c r="C7" s="37" t="s">
        <v>69</v>
      </c>
      <c r="D7" s="36"/>
    </row>
    <row r="8" spans="1:4" ht="15.6" x14ac:dyDescent="0.3">
      <c r="A8" s="35"/>
      <c r="B8" s="36">
        <f>24*26.4</f>
        <v>633.59999999999991</v>
      </c>
      <c r="C8" s="33" t="s">
        <v>70</v>
      </c>
      <c r="D8" s="36"/>
    </row>
    <row r="9" spans="1:4" ht="15.6" x14ac:dyDescent="0.3">
      <c r="A9" s="35"/>
      <c r="B9" s="67">
        <f>B7+B8</f>
        <v>3096</v>
      </c>
      <c r="C9" s="65" t="s">
        <v>72</v>
      </c>
      <c r="D9" s="66"/>
    </row>
    <row r="10" spans="1:4" x14ac:dyDescent="0.3">
      <c r="D10" s="1"/>
    </row>
    <row r="11" spans="1:4" x14ac:dyDescent="0.3">
      <c r="A11" s="38" t="s">
        <v>71</v>
      </c>
    </row>
    <row r="12" spans="1:4" x14ac:dyDescent="0.3">
      <c r="A12" s="29" t="s">
        <v>62</v>
      </c>
    </row>
    <row r="13" spans="1:4" x14ac:dyDescent="0.3">
      <c r="A13" s="29" t="s">
        <v>63</v>
      </c>
      <c r="B13" s="30"/>
    </row>
    <row r="14" spans="1:4" x14ac:dyDescent="0.3">
      <c r="A14" s="29" t="s">
        <v>64</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3"/>
  <sheetViews>
    <sheetView workbookViewId="0">
      <selection activeCell="B216" sqref="B216"/>
    </sheetView>
  </sheetViews>
  <sheetFormatPr defaultRowHeight="14.4" x14ac:dyDescent="0.3"/>
  <cols>
    <col min="1" max="1" width="4.44140625" style="82" customWidth="1"/>
    <col min="2" max="2" width="69.5546875" customWidth="1"/>
    <col min="3" max="3" width="11" bestFit="1" customWidth="1"/>
    <col min="4" max="4" width="8.88671875" customWidth="1"/>
  </cols>
  <sheetData>
    <row r="1" spans="1:3" x14ac:dyDescent="0.3">
      <c r="B1" s="13" t="s">
        <v>134</v>
      </c>
      <c r="C1" s="78"/>
    </row>
    <row r="2" spans="1:3" x14ac:dyDescent="0.3">
      <c r="A2" s="87" t="s">
        <v>280</v>
      </c>
      <c r="B2" s="79" t="s">
        <v>135</v>
      </c>
      <c r="C2" s="83" t="s">
        <v>136</v>
      </c>
    </row>
    <row r="3" spans="1:3" x14ac:dyDescent="0.3">
      <c r="A3" s="87"/>
      <c r="B3" s="21" t="s">
        <v>137</v>
      </c>
      <c r="C3" s="84"/>
    </row>
    <row r="4" spans="1:3" x14ac:dyDescent="0.3">
      <c r="A4" s="87"/>
      <c r="B4" s="22" t="s">
        <v>138</v>
      </c>
      <c r="C4" s="84"/>
    </row>
    <row r="5" spans="1:3" x14ac:dyDescent="0.3">
      <c r="A5" s="87"/>
      <c r="B5" s="22" t="s">
        <v>139</v>
      </c>
      <c r="C5" s="84"/>
    </row>
    <row r="6" spans="1:3" x14ac:dyDescent="0.3">
      <c r="A6" s="87"/>
      <c r="B6" s="22" t="s">
        <v>140</v>
      </c>
      <c r="C6" s="84"/>
    </row>
    <row r="7" spans="1:3" x14ac:dyDescent="0.3">
      <c r="A7" s="87"/>
      <c r="B7" s="22" t="s">
        <v>141</v>
      </c>
      <c r="C7" s="84"/>
    </row>
    <row r="8" spans="1:3" ht="28.2" x14ac:dyDescent="0.3">
      <c r="A8" s="87"/>
      <c r="B8" s="80" t="s">
        <v>142</v>
      </c>
      <c r="C8" s="84"/>
    </row>
    <row r="9" spans="1:3" x14ac:dyDescent="0.3">
      <c r="A9" s="87"/>
      <c r="B9" s="22"/>
      <c r="C9" s="84"/>
    </row>
    <row r="10" spans="1:3" x14ac:dyDescent="0.3">
      <c r="A10" s="87" t="s">
        <v>283</v>
      </c>
      <c r="B10" s="79" t="s">
        <v>143</v>
      </c>
      <c r="C10" s="84"/>
    </row>
    <row r="11" spans="1:3" x14ac:dyDescent="0.3">
      <c r="A11" s="87"/>
      <c r="B11" s="21" t="s">
        <v>144</v>
      </c>
      <c r="C11" s="84"/>
    </row>
    <row r="12" spans="1:3" x14ac:dyDescent="0.3">
      <c r="A12" s="87"/>
      <c r="B12" s="21" t="s">
        <v>145</v>
      </c>
      <c r="C12" s="84"/>
    </row>
    <row r="13" spans="1:3" x14ac:dyDescent="0.3">
      <c r="A13" s="87"/>
      <c r="B13" s="21" t="s">
        <v>146</v>
      </c>
      <c r="C13" s="84"/>
    </row>
    <row r="14" spans="1:3" x14ac:dyDescent="0.3">
      <c r="A14" s="87"/>
      <c r="B14" s="21" t="s">
        <v>147</v>
      </c>
      <c r="C14" s="84"/>
    </row>
    <row r="15" spans="1:3" x14ac:dyDescent="0.3">
      <c r="A15" s="87"/>
      <c r="B15" s="22" t="s">
        <v>148</v>
      </c>
      <c r="C15" s="84"/>
    </row>
    <row r="16" spans="1:3" x14ac:dyDescent="0.3">
      <c r="A16" s="87"/>
      <c r="B16" s="22" t="s">
        <v>149</v>
      </c>
      <c r="C16" s="84"/>
    </row>
    <row r="17" spans="1:3" x14ac:dyDescent="0.3">
      <c r="A17" s="87"/>
      <c r="B17" s="22" t="s">
        <v>150</v>
      </c>
      <c r="C17" s="84"/>
    </row>
    <row r="18" spans="1:3" x14ac:dyDescent="0.3">
      <c r="A18" s="87"/>
      <c r="B18" s="22" t="s">
        <v>151</v>
      </c>
      <c r="C18" s="84"/>
    </row>
    <row r="19" spans="1:3" x14ac:dyDescent="0.3">
      <c r="A19" s="87"/>
      <c r="B19" s="21" t="s">
        <v>152</v>
      </c>
      <c r="C19" s="84"/>
    </row>
    <row r="20" spans="1:3" x14ac:dyDescent="0.3">
      <c r="A20" s="87"/>
      <c r="B20" s="22" t="s">
        <v>153</v>
      </c>
      <c r="C20" s="85">
        <v>10150</v>
      </c>
    </row>
    <row r="21" spans="1:3" x14ac:dyDescent="0.3">
      <c r="A21" s="87"/>
      <c r="B21" s="22" t="s">
        <v>154</v>
      </c>
      <c r="C21" s="85">
        <v>1090.0999999999999</v>
      </c>
    </row>
    <row r="22" spans="1:3" x14ac:dyDescent="0.3">
      <c r="A22" s="87"/>
      <c r="B22" s="21" t="s">
        <v>155</v>
      </c>
      <c r="C22" s="84"/>
    </row>
    <row r="23" spans="1:3" x14ac:dyDescent="0.3">
      <c r="A23" s="87"/>
      <c r="B23" s="22" t="s">
        <v>156</v>
      </c>
      <c r="C23" s="85">
        <v>1209.5</v>
      </c>
    </row>
    <row r="24" spans="1:3" x14ac:dyDescent="0.3">
      <c r="A24" s="87"/>
      <c r="B24" s="22" t="s">
        <v>157</v>
      </c>
      <c r="C24" s="85">
        <v>1207.5</v>
      </c>
    </row>
    <row r="25" spans="1:3" x14ac:dyDescent="0.3">
      <c r="A25" s="87"/>
      <c r="B25" s="5" t="s">
        <v>158</v>
      </c>
      <c r="C25" s="86">
        <v>380</v>
      </c>
    </row>
    <row r="26" spans="1:3" x14ac:dyDescent="0.3">
      <c r="A26" s="87"/>
      <c r="B26" s="5" t="s">
        <v>159</v>
      </c>
      <c r="C26" s="86">
        <v>1080</v>
      </c>
    </row>
    <row r="27" spans="1:3" x14ac:dyDescent="0.3">
      <c r="A27" s="87"/>
      <c r="B27" s="22" t="s">
        <v>160</v>
      </c>
      <c r="C27" s="85">
        <f>11*160</f>
        <v>1760</v>
      </c>
    </row>
    <row r="28" spans="1:3" x14ac:dyDescent="0.3">
      <c r="A28" s="87"/>
      <c r="B28" s="22" t="s">
        <v>161</v>
      </c>
      <c r="C28" s="85">
        <f>26.25*160</f>
        <v>4200</v>
      </c>
    </row>
    <row r="29" spans="1:3" x14ac:dyDescent="0.3">
      <c r="A29" s="87"/>
      <c r="B29" s="22" t="s">
        <v>162</v>
      </c>
      <c r="C29" s="85">
        <f>11*20</f>
        <v>220</v>
      </c>
    </row>
    <row r="30" spans="1:3" x14ac:dyDescent="0.3">
      <c r="A30" s="87"/>
      <c r="B30" s="22"/>
      <c r="C30" s="84">
        <f>SUM(C15:C29)</f>
        <v>21297.1</v>
      </c>
    </row>
    <row r="31" spans="1:3" x14ac:dyDescent="0.3">
      <c r="A31" s="87" t="s">
        <v>284</v>
      </c>
      <c r="B31" s="79" t="s">
        <v>163</v>
      </c>
      <c r="C31" s="84"/>
    </row>
    <row r="32" spans="1:3" x14ac:dyDescent="0.3">
      <c r="A32" s="87"/>
      <c r="B32" s="21" t="s">
        <v>137</v>
      </c>
      <c r="C32" s="84"/>
    </row>
    <row r="33" spans="1:3" x14ac:dyDescent="0.3">
      <c r="A33" s="87"/>
      <c r="B33" s="22" t="s">
        <v>164</v>
      </c>
      <c r="C33" s="84"/>
    </row>
    <row r="34" spans="1:3" x14ac:dyDescent="0.3">
      <c r="A34" s="87"/>
      <c r="B34" s="22" t="s">
        <v>165</v>
      </c>
      <c r="C34" s="84"/>
    </row>
    <row r="35" spans="1:3" x14ac:dyDescent="0.3">
      <c r="A35" s="87"/>
      <c r="B35" s="22" t="s">
        <v>166</v>
      </c>
      <c r="C35" s="84"/>
    </row>
    <row r="36" spans="1:3" x14ac:dyDescent="0.3">
      <c r="A36" s="87"/>
      <c r="B36" s="22" t="s">
        <v>167</v>
      </c>
      <c r="C36" s="84"/>
    </row>
    <row r="37" spans="1:3" x14ac:dyDescent="0.3">
      <c r="A37" s="87"/>
      <c r="B37" s="6" t="s">
        <v>168</v>
      </c>
      <c r="C37" s="84">
        <f>131.25*85</f>
        <v>11156.25</v>
      </c>
    </row>
    <row r="38" spans="1:3" x14ac:dyDescent="0.3">
      <c r="A38" s="87"/>
      <c r="B38" s="22"/>
      <c r="C38" s="84"/>
    </row>
    <row r="39" spans="1:3" x14ac:dyDescent="0.3">
      <c r="A39" s="87" t="s">
        <v>285</v>
      </c>
      <c r="B39" s="79" t="s">
        <v>169</v>
      </c>
      <c r="C39" s="84"/>
    </row>
    <row r="40" spans="1:3" x14ac:dyDescent="0.3">
      <c r="A40" s="87"/>
      <c r="B40" s="21" t="s">
        <v>137</v>
      </c>
      <c r="C40" s="84"/>
    </row>
    <row r="41" spans="1:3" x14ac:dyDescent="0.3">
      <c r="A41" s="87"/>
      <c r="B41" s="22" t="s">
        <v>170</v>
      </c>
      <c r="C41" s="84"/>
    </row>
    <row r="42" spans="1:3" x14ac:dyDescent="0.3">
      <c r="A42" s="87"/>
      <c r="B42" s="22" t="s">
        <v>171</v>
      </c>
      <c r="C42" s="84"/>
    </row>
    <row r="43" spans="1:3" x14ac:dyDescent="0.3">
      <c r="A43" s="87"/>
      <c r="B43" s="22" t="s">
        <v>172</v>
      </c>
      <c r="C43" s="84"/>
    </row>
    <row r="44" spans="1:3" x14ac:dyDescent="0.3">
      <c r="A44" s="87"/>
      <c r="B44" s="22" t="s">
        <v>172</v>
      </c>
      <c r="C44" s="84"/>
    </row>
    <row r="45" spans="1:3" x14ac:dyDescent="0.3">
      <c r="A45" s="87"/>
      <c r="B45" s="22" t="s">
        <v>173</v>
      </c>
      <c r="C45" s="84"/>
    </row>
    <row r="46" spans="1:3" x14ac:dyDescent="0.3">
      <c r="A46" s="87"/>
      <c r="B46" s="22" t="s">
        <v>174</v>
      </c>
      <c r="C46" s="84"/>
    </row>
    <row r="47" spans="1:3" x14ac:dyDescent="0.3">
      <c r="A47" s="87"/>
      <c r="B47" s="22" t="s">
        <v>175</v>
      </c>
      <c r="C47" s="84"/>
    </row>
    <row r="48" spans="1:3" x14ac:dyDescent="0.3">
      <c r="A48" s="87"/>
      <c r="B48" s="22" t="s">
        <v>176</v>
      </c>
      <c r="C48" s="84"/>
    </row>
    <row r="49" spans="1:3" x14ac:dyDescent="0.3">
      <c r="A49" s="87"/>
      <c r="B49" s="22" t="s">
        <v>177</v>
      </c>
      <c r="C49" s="84"/>
    </row>
    <row r="50" spans="1:3" x14ac:dyDescent="0.3">
      <c r="A50" s="87"/>
      <c r="B50" s="22" t="s">
        <v>178</v>
      </c>
      <c r="C50" s="84"/>
    </row>
    <row r="51" spans="1:3" x14ac:dyDescent="0.3">
      <c r="A51" s="87"/>
      <c r="B51" s="22" t="s">
        <v>179</v>
      </c>
      <c r="C51" s="84"/>
    </row>
    <row r="52" spans="1:3" x14ac:dyDescent="0.3">
      <c r="A52" s="87"/>
      <c r="B52" s="22" t="s">
        <v>180</v>
      </c>
      <c r="C52" s="84"/>
    </row>
    <row r="53" spans="1:3" x14ac:dyDescent="0.3">
      <c r="A53" s="87"/>
      <c r="B53" s="22" t="s">
        <v>181</v>
      </c>
      <c r="C53" s="84"/>
    </row>
    <row r="54" spans="1:3" x14ac:dyDescent="0.3">
      <c r="A54" s="87"/>
      <c r="B54" s="22" t="s">
        <v>182</v>
      </c>
      <c r="C54" s="84"/>
    </row>
    <row r="55" spans="1:3" x14ac:dyDescent="0.3">
      <c r="A55" s="87"/>
      <c r="B55" s="22" t="s">
        <v>183</v>
      </c>
      <c r="C55" s="84"/>
    </row>
    <row r="56" spans="1:3" x14ac:dyDescent="0.3">
      <c r="A56" s="87"/>
      <c r="B56" s="22" t="s">
        <v>184</v>
      </c>
      <c r="C56" s="84"/>
    </row>
    <row r="57" spans="1:3" x14ac:dyDescent="0.3">
      <c r="A57" s="87"/>
      <c r="B57" s="22" t="s">
        <v>185</v>
      </c>
      <c r="C57" s="84"/>
    </row>
    <row r="58" spans="1:3" x14ac:dyDescent="0.3">
      <c r="A58" s="87"/>
      <c r="B58" s="22" t="s">
        <v>186</v>
      </c>
      <c r="C58" s="84"/>
    </row>
    <row r="59" spans="1:3" x14ac:dyDescent="0.3">
      <c r="A59" s="87"/>
      <c r="B59" s="22" t="s">
        <v>187</v>
      </c>
      <c r="C59" s="84"/>
    </row>
    <row r="60" spans="1:3" x14ac:dyDescent="0.3">
      <c r="A60" s="87"/>
      <c r="B60" s="22" t="s">
        <v>188</v>
      </c>
      <c r="C60" s="84"/>
    </row>
    <row r="61" spans="1:3" x14ac:dyDescent="0.3">
      <c r="A61" s="87"/>
      <c r="B61" s="22" t="s">
        <v>189</v>
      </c>
      <c r="C61" s="84"/>
    </row>
    <row r="62" spans="1:3" x14ac:dyDescent="0.3">
      <c r="A62" s="87"/>
      <c r="B62" s="22" t="s">
        <v>190</v>
      </c>
      <c r="C62" s="84"/>
    </row>
    <row r="63" spans="1:3" x14ac:dyDescent="0.3">
      <c r="A63" s="87"/>
      <c r="B63" s="22" t="s">
        <v>191</v>
      </c>
      <c r="C63" s="84"/>
    </row>
    <row r="64" spans="1:3" x14ac:dyDescent="0.3">
      <c r="A64" s="87"/>
      <c r="B64" s="22" t="s">
        <v>192</v>
      </c>
      <c r="C64" s="84"/>
    </row>
    <row r="65" spans="1:3" x14ac:dyDescent="0.3">
      <c r="A65" s="87"/>
      <c r="B65" s="22" t="s">
        <v>193</v>
      </c>
      <c r="C65" s="84"/>
    </row>
    <row r="66" spans="1:3" x14ac:dyDescent="0.3">
      <c r="A66" s="87"/>
      <c r="B66" s="22" t="s">
        <v>194</v>
      </c>
      <c r="C66" s="84"/>
    </row>
    <row r="67" spans="1:3" x14ac:dyDescent="0.3">
      <c r="A67" s="87"/>
      <c r="B67" s="22" t="s">
        <v>195</v>
      </c>
      <c r="C67" s="84"/>
    </row>
    <row r="68" spans="1:3" x14ac:dyDescent="0.3">
      <c r="A68" s="87"/>
      <c r="B68" s="21" t="s">
        <v>196</v>
      </c>
      <c r="C68" s="84">
        <f>187*6.4</f>
        <v>1196.8</v>
      </c>
    </row>
    <row r="69" spans="1:3" x14ac:dyDescent="0.3">
      <c r="A69" s="87"/>
      <c r="B69" s="21"/>
      <c r="C69" s="84"/>
    </row>
    <row r="70" spans="1:3" x14ac:dyDescent="0.3">
      <c r="A70" s="87"/>
      <c r="B70" s="79" t="s">
        <v>197</v>
      </c>
      <c r="C70" s="84"/>
    </row>
    <row r="71" spans="1:3" x14ac:dyDescent="0.3">
      <c r="A71" s="87"/>
      <c r="B71" s="21" t="s">
        <v>137</v>
      </c>
      <c r="C71" s="84"/>
    </row>
    <row r="72" spans="1:3" x14ac:dyDescent="0.3">
      <c r="A72" s="87"/>
      <c r="B72" s="22" t="s">
        <v>198</v>
      </c>
      <c r="C72" s="84"/>
    </row>
    <row r="73" spans="1:3" x14ac:dyDescent="0.3">
      <c r="A73" s="87"/>
      <c r="B73" s="22" t="s">
        <v>199</v>
      </c>
      <c r="C73" s="84"/>
    </row>
    <row r="74" spans="1:3" x14ac:dyDescent="0.3">
      <c r="A74" s="87"/>
      <c r="B74" s="22" t="s">
        <v>200</v>
      </c>
      <c r="C74" s="84"/>
    </row>
    <row r="75" spans="1:3" x14ac:dyDescent="0.3">
      <c r="A75" s="87"/>
      <c r="B75" s="22" t="s">
        <v>201</v>
      </c>
      <c r="C75" s="84"/>
    </row>
    <row r="76" spans="1:3" x14ac:dyDescent="0.3">
      <c r="A76" s="87"/>
      <c r="B76" s="22" t="s">
        <v>202</v>
      </c>
      <c r="C76" s="84"/>
    </row>
    <row r="77" spans="1:3" x14ac:dyDescent="0.3">
      <c r="A77" s="87"/>
      <c r="B77" s="21" t="s">
        <v>203</v>
      </c>
      <c r="C77" s="84">
        <f>65*6.4</f>
        <v>416</v>
      </c>
    </row>
    <row r="78" spans="1:3" x14ac:dyDescent="0.3">
      <c r="A78" s="87"/>
      <c r="B78" s="22"/>
      <c r="C78" s="84"/>
    </row>
    <row r="79" spans="1:3" x14ac:dyDescent="0.3">
      <c r="A79" s="87" t="s">
        <v>281</v>
      </c>
      <c r="B79" s="79" t="s">
        <v>204</v>
      </c>
      <c r="C79" s="84"/>
    </row>
    <row r="80" spans="1:3" x14ac:dyDescent="0.3">
      <c r="A80" s="87"/>
      <c r="B80" s="21" t="s">
        <v>205</v>
      </c>
      <c r="C80" s="84"/>
    </row>
    <row r="81" spans="1:3" x14ac:dyDescent="0.3">
      <c r="A81" s="87"/>
      <c r="B81" s="18" t="s">
        <v>206</v>
      </c>
      <c r="C81" s="84"/>
    </row>
    <row r="82" spans="1:3" x14ac:dyDescent="0.3">
      <c r="A82" s="87"/>
      <c r="B82" s="18"/>
      <c r="C82" s="84"/>
    </row>
    <row r="83" spans="1:3" x14ac:dyDescent="0.3">
      <c r="A83" s="87"/>
      <c r="B83" s="81" t="s">
        <v>207</v>
      </c>
      <c r="C83" s="84"/>
    </row>
    <row r="84" spans="1:3" x14ac:dyDescent="0.3">
      <c r="A84" s="87"/>
      <c r="B84" s="18" t="s">
        <v>208</v>
      </c>
      <c r="C84" s="84"/>
    </row>
    <row r="85" spans="1:3" x14ac:dyDescent="0.3">
      <c r="A85" s="87"/>
      <c r="B85" s="18" t="s">
        <v>209</v>
      </c>
      <c r="C85" s="84"/>
    </row>
    <row r="86" spans="1:3" x14ac:dyDescent="0.3">
      <c r="A86" s="87"/>
      <c r="B86" s="18" t="s">
        <v>210</v>
      </c>
      <c r="C86" s="84"/>
    </row>
    <row r="87" spans="1:3" x14ac:dyDescent="0.3">
      <c r="A87" s="87"/>
      <c r="B87" s="72" t="s">
        <v>211</v>
      </c>
      <c r="C87" s="84">
        <f>12*42</f>
        <v>504</v>
      </c>
    </row>
    <row r="88" spans="1:3" x14ac:dyDescent="0.3">
      <c r="A88" s="87"/>
      <c r="B88" s="18"/>
      <c r="C88" s="84"/>
    </row>
    <row r="89" spans="1:3" x14ac:dyDescent="0.3">
      <c r="A89" s="87"/>
      <c r="B89" s="81" t="s">
        <v>212</v>
      </c>
      <c r="C89" s="84"/>
    </row>
    <row r="90" spans="1:3" x14ac:dyDescent="0.3">
      <c r="A90" s="87"/>
      <c r="B90" s="18" t="s">
        <v>213</v>
      </c>
      <c r="C90" s="84"/>
    </row>
    <row r="91" spans="1:3" x14ac:dyDescent="0.3">
      <c r="A91" s="87"/>
      <c r="B91" s="18" t="s">
        <v>214</v>
      </c>
      <c r="C91" s="84"/>
    </row>
    <row r="92" spans="1:3" x14ac:dyDescent="0.3">
      <c r="A92" s="87"/>
      <c r="B92" s="18" t="s">
        <v>215</v>
      </c>
      <c r="C92" s="84"/>
    </row>
    <row r="93" spans="1:3" x14ac:dyDescent="0.3">
      <c r="A93" s="87"/>
      <c r="B93" s="72" t="s">
        <v>216</v>
      </c>
      <c r="C93" s="84">
        <f>24*44</f>
        <v>1056</v>
      </c>
    </row>
    <row r="94" spans="1:3" x14ac:dyDescent="0.3">
      <c r="A94" s="87"/>
      <c r="B94" s="18"/>
      <c r="C94" s="84"/>
    </row>
    <row r="95" spans="1:3" x14ac:dyDescent="0.3">
      <c r="A95" s="87" t="s">
        <v>286</v>
      </c>
      <c r="B95" s="79" t="s">
        <v>217</v>
      </c>
      <c r="C95" s="84"/>
    </row>
    <row r="96" spans="1:3" x14ac:dyDescent="0.3">
      <c r="A96" s="87"/>
      <c r="B96" s="21" t="s">
        <v>218</v>
      </c>
      <c r="C96" s="84"/>
    </row>
    <row r="97" spans="1:3" x14ac:dyDescent="0.3">
      <c r="A97" s="87"/>
      <c r="B97" s="22" t="s">
        <v>219</v>
      </c>
      <c r="C97" s="84">
        <f>11.67*50</f>
        <v>583.5</v>
      </c>
    </row>
    <row r="98" spans="1:3" x14ac:dyDescent="0.3">
      <c r="A98" s="87"/>
      <c r="B98" s="22" t="s">
        <v>220</v>
      </c>
      <c r="C98" s="84">
        <f>24.2*50</f>
        <v>1210</v>
      </c>
    </row>
    <row r="99" spans="1:3" x14ac:dyDescent="0.3">
      <c r="A99" s="87"/>
      <c r="B99" s="22"/>
      <c r="C99" s="84"/>
    </row>
    <row r="100" spans="1:3" x14ac:dyDescent="0.3">
      <c r="A100" s="87" t="s">
        <v>287</v>
      </c>
      <c r="B100" s="79" t="s">
        <v>221</v>
      </c>
      <c r="C100" s="84"/>
    </row>
    <row r="101" spans="1:3" x14ac:dyDescent="0.3">
      <c r="A101" s="87"/>
      <c r="B101" s="21" t="s">
        <v>222</v>
      </c>
      <c r="C101" s="84"/>
    </row>
    <row r="102" spans="1:3" x14ac:dyDescent="0.3">
      <c r="A102" s="87"/>
      <c r="B102" s="22" t="s">
        <v>223</v>
      </c>
      <c r="C102" s="84"/>
    </row>
    <row r="103" spans="1:3" x14ac:dyDescent="0.3">
      <c r="A103" s="87"/>
      <c r="B103" s="22" t="s">
        <v>224</v>
      </c>
      <c r="C103" s="84"/>
    </row>
    <row r="104" spans="1:3" x14ac:dyDescent="0.3">
      <c r="A104" s="87"/>
      <c r="B104" s="22" t="s">
        <v>225</v>
      </c>
      <c r="C104" s="84"/>
    </row>
    <row r="105" spans="1:3" x14ac:dyDescent="0.3">
      <c r="A105" s="87"/>
      <c r="B105" s="22" t="s">
        <v>226</v>
      </c>
      <c r="C105" s="84"/>
    </row>
    <row r="106" spans="1:3" x14ac:dyDescent="0.3">
      <c r="A106" s="87"/>
      <c r="B106" s="22" t="s">
        <v>227</v>
      </c>
      <c r="C106" s="84"/>
    </row>
    <row r="107" spans="1:3" x14ac:dyDescent="0.3">
      <c r="A107" s="87"/>
      <c r="B107" s="22" t="s">
        <v>228</v>
      </c>
      <c r="C107" s="84"/>
    </row>
    <row r="108" spans="1:3" x14ac:dyDescent="0.3">
      <c r="A108" s="87"/>
      <c r="B108" s="22" t="s">
        <v>229</v>
      </c>
      <c r="C108" s="84"/>
    </row>
    <row r="109" spans="1:3" x14ac:dyDescent="0.3">
      <c r="A109" s="87"/>
      <c r="B109" s="22" t="s">
        <v>230</v>
      </c>
      <c r="C109" s="84"/>
    </row>
    <row r="110" spans="1:3" x14ac:dyDescent="0.3">
      <c r="A110" s="87"/>
      <c r="B110" s="22" t="s">
        <v>231</v>
      </c>
      <c r="C110" s="84"/>
    </row>
    <row r="111" spans="1:3" x14ac:dyDescent="0.3">
      <c r="A111" s="87"/>
      <c r="B111" s="21" t="s">
        <v>232</v>
      </c>
      <c r="C111" s="84">
        <v>18580.7</v>
      </c>
    </row>
    <row r="112" spans="1:3" x14ac:dyDescent="0.3">
      <c r="A112" s="87"/>
      <c r="B112" s="22"/>
      <c r="C112" s="84"/>
    </row>
    <row r="113" spans="1:3" x14ac:dyDescent="0.3">
      <c r="A113" s="87" t="s">
        <v>288</v>
      </c>
      <c r="B113" s="79" t="s">
        <v>233</v>
      </c>
      <c r="C113" s="84"/>
    </row>
    <row r="114" spans="1:3" x14ac:dyDescent="0.3">
      <c r="A114" s="87"/>
      <c r="B114" s="21" t="s">
        <v>234</v>
      </c>
      <c r="C114" s="84"/>
    </row>
    <row r="115" spans="1:3" x14ac:dyDescent="0.3">
      <c r="A115" s="87"/>
      <c r="B115" s="81" t="s">
        <v>235</v>
      </c>
      <c r="C115" s="84"/>
    </row>
    <row r="116" spans="1:3" x14ac:dyDescent="0.3">
      <c r="A116" s="87"/>
      <c r="B116" s="22" t="s">
        <v>236</v>
      </c>
      <c r="C116" s="85">
        <v>294.64999999999998</v>
      </c>
    </row>
    <row r="117" spans="1:3" x14ac:dyDescent="0.3">
      <c r="A117" s="87"/>
      <c r="B117" s="22" t="s">
        <v>237</v>
      </c>
      <c r="C117" s="85">
        <v>257.7</v>
      </c>
    </row>
    <row r="118" spans="1:3" x14ac:dyDescent="0.3">
      <c r="A118" s="87"/>
      <c r="B118" s="22" t="s">
        <v>238</v>
      </c>
      <c r="C118" s="85">
        <v>230.5</v>
      </c>
    </row>
    <row r="119" spans="1:3" x14ac:dyDescent="0.3">
      <c r="A119" s="87"/>
      <c r="B119" s="22" t="s">
        <v>239</v>
      </c>
      <c r="C119" s="85">
        <v>373.85</v>
      </c>
    </row>
    <row r="120" spans="1:3" x14ac:dyDescent="0.3">
      <c r="A120" s="87"/>
      <c r="B120" s="22" t="s">
        <v>240</v>
      </c>
      <c r="C120" s="85">
        <v>279.55</v>
      </c>
    </row>
    <row r="121" spans="1:3" x14ac:dyDescent="0.3">
      <c r="A121" s="87"/>
      <c r="B121" s="22" t="s">
        <v>241</v>
      </c>
      <c r="C121" s="85">
        <v>616.5</v>
      </c>
    </row>
    <row r="122" spans="1:3" x14ac:dyDescent="0.3">
      <c r="A122" s="87"/>
      <c r="B122" s="22" t="s">
        <v>242</v>
      </c>
      <c r="C122" s="85">
        <v>616.5</v>
      </c>
    </row>
    <row r="123" spans="1:3" x14ac:dyDescent="0.3">
      <c r="A123" s="87"/>
      <c r="B123" s="22" t="s">
        <v>243</v>
      </c>
      <c r="C123" s="85">
        <v>682.2</v>
      </c>
    </row>
    <row r="124" spans="1:3" x14ac:dyDescent="0.3">
      <c r="A124" s="87"/>
      <c r="B124" s="22" t="s">
        <v>244</v>
      </c>
      <c r="C124" s="85">
        <v>402.9</v>
      </c>
    </row>
    <row r="125" spans="1:3" x14ac:dyDescent="0.3">
      <c r="A125" s="87"/>
      <c r="B125" s="22" t="s">
        <v>244</v>
      </c>
      <c r="C125" s="85">
        <v>402.9</v>
      </c>
    </row>
    <row r="126" spans="1:3" x14ac:dyDescent="0.3">
      <c r="A126" s="87"/>
      <c r="B126" s="22" t="s">
        <v>245</v>
      </c>
      <c r="C126" s="85">
        <v>486.75</v>
      </c>
    </row>
    <row r="127" spans="1:3" x14ac:dyDescent="0.3">
      <c r="A127" s="87"/>
      <c r="B127" s="22" t="s">
        <v>246</v>
      </c>
      <c r="C127" s="85">
        <v>402.9</v>
      </c>
    </row>
    <row r="128" spans="1:3" x14ac:dyDescent="0.3">
      <c r="A128" s="87"/>
      <c r="B128" s="21" t="s">
        <v>247</v>
      </c>
      <c r="C128" s="84">
        <f>SUM(C116:C127)</f>
        <v>5046.8999999999996</v>
      </c>
    </row>
    <row r="129" spans="1:3" x14ac:dyDescent="0.3">
      <c r="A129" s="87"/>
      <c r="B129" s="22"/>
      <c r="C129" s="84"/>
    </row>
    <row r="130" spans="1:3" x14ac:dyDescent="0.3">
      <c r="A130" s="87" t="s">
        <v>282</v>
      </c>
      <c r="B130" s="81" t="s">
        <v>248</v>
      </c>
      <c r="C130" s="84"/>
    </row>
    <row r="131" spans="1:3" x14ac:dyDescent="0.3">
      <c r="A131" s="87"/>
      <c r="B131" s="21" t="s">
        <v>137</v>
      </c>
      <c r="C131" s="84"/>
    </row>
    <row r="132" spans="1:3" x14ac:dyDescent="0.3">
      <c r="A132" s="87"/>
      <c r="B132" s="22" t="s">
        <v>249</v>
      </c>
      <c r="C132" s="85">
        <f>308*2</f>
        <v>616</v>
      </c>
    </row>
    <row r="133" spans="1:3" x14ac:dyDescent="0.3">
      <c r="A133" s="87"/>
      <c r="B133" s="22" t="s">
        <v>250</v>
      </c>
      <c r="C133" s="85">
        <v>2239</v>
      </c>
    </row>
    <row r="134" spans="1:3" x14ac:dyDescent="0.3">
      <c r="A134" s="87"/>
      <c r="B134" s="22" t="s">
        <v>251</v>
      </c>
      <c r="C134" s="85">
        <v>94</v>
      </c>
    </row>
    <row r="135" spans="1:3" x14ac:dyDescent="0.3">
      <c r="A135" s="87"/>
      <c r="B135" s="22" t="s">
        <v>252</v>
      </c>
      <c r="C135" s="85">
        <v>94</v>
      </c>
    </row>
    <row r="136" spans="1:3" x14ac:dyDescent="0.3">
      <c r="A136" s="87"/>
      <c r="B136" s="22" t="s">
        <v>253</v>
      </c>
      <c r="C136" s="85">
        <v>1848</v>
      </c>
    </row>
    <row r="137" spans="1:3" x14ac:dyDescent="0.3">
      <c r="A137" s="87"/>
      <c r="B137" s="22" t="s">
        <v>254</v>
      </c>
      <c r="C137" s="85">
        <v>2064</v>
      </c>
    </row>
    <row r="138" spans="1:3" x14ac:dyDescent="0.3">
      <c r="A138" s="87"/>
      <c r="B138" s="22" t="s">
        <v>255</v>
      </c>
      <c r="C138" s="85">
        <v>1848</v>
      </c>
    </row>
    <row r="139" spans="1:3" x14ac:dyDescent="0.3">
      <c r="A139" s="87"/>
      <c r="B139" s="21" t="s">
        <v>256</v>
      </c>
      <c r="C139" s="84">
        <f>SUM(C132:C138)</f>
        <v>8803</v>
      </c>
    </row>
    <row r="140" spans="1:3" x14ac:dyDescent="0.3">
      <c r="A140" s="87"/>
      <c r="B140" s="22"/>
      <c r="C140" s="84"/>
    </row>
    <row r="141" spans="1:3" x14ac:dyDescent="0.3">
      <c r="A141" s="87"/>
      <c r="B141" s="79" t="s">
        <v>257</v>
      </c>
      <c r="C141" s="84"/>
    </row>
    <row r="142" spans="1:3" x14ac:dyDescent="0.3">
      <c r="A142" s="87"/>
      <c r="B142" s="21" t="s">
        <v>137</v>
      </c>
      <c r="C142" s="84"/>
    </row>
    <row r="143" spans="1:3" x14ac:dyDescent="0.3">
      <c r="A143" s="87"/>
      <c r="B143" s="22" t="s">
        <v>258</v>
      </c>
      <c r="C143" s="84"/>
    </row>
    <row r="144" spans="1:3" x14ac:dyDescent="0.3">
      <c r="A144" s="87"/>
      <c r="B144" s="22" t="s">
        <v>259</v>
      </c>
      <c r="C144" s="85">
        <v>48</v>
      </c>
    </row>
    <row r="145" spans="1:3" x14ac:dyDescent="0.3">
      <c r="A145" s="87"/>
      <c r="B145" s="22" t="s">
        <v>260</v>
      </c>
      <c r="C145" s="85">
        <v>48</v>
      </c>
    </row>
    <row r="146" spans="1:3" x14ac:dyDescent="0.3">
      <c r="A146" s="87"/>
      <c r="B146" s="22" t="s">
        <v>261</v>
      </c>
      <c r="C146" s="85">
        <v>48</v>
      </c>
    </row>
    <row r="147" spans="1:3" x14ac:dyDescent="0.3">
      <c r="A147" s="87"/>
      <c r="B147" s="22" t="s">
        <v>262</v>
      </c>
      <c r="C147" s="85">
        <v>32</v>
      </c>
    </row>
    <row r="148" spans="1:3" x14ac:dyDescent="0.3">
      <c r="A148" s="87"/>
      <c r="B148" s="22" t="s">
        <v>263</v>
      </c>
      <c r="C148" s="85">
        <f>2*48</f>
        <v>96</v>
      </c>
    </row>
    <row r="149" spans="1:3" x14ac:dyDescent="0.3">
      <c r="A149" s="87"/>
      <c r="B149" s="22" t="s">
        <v>264</v>
      </c>
      <c r="C149" s="85">
        <v>48</v>
      </c>
    </row>
    <row r="150" spans="1:3" x14ac:dyDescent="0.3">
      <c r="A150" s="87"/>
      <c r="B150" s="22" t="s">
        <v>265</v>
      </c>
      <c r="C150" s="85">
        <v>48</v>
      </c>
    </row>
    <row r="151" spans="1:3" x14ac:dyDescent="0.3">
      <c r="A151" s="87"/>
      <c r="B151" s="22" t="s">
        <v>266</v>
      </c>
      <c r="C151" s="85">
        <v>390</v>
      </c>
    </row>
    <row r="152" spans="1:3" x14ac:dyDescent="0.3">
      <c r="A152" s="87"/>
      <c r="B152" s="22" t="s">
        <v>267</v>
      </c>
      <c r="C152" s="85">
        <v>48</v>
      </c>
    </row>
    <row r="153" spans="1:3" x14ac:dyDescent="0.3">
      <c r="A153" s="87"/>
      <c r="B153" s="21" t="s">
        <v>268</v>
      </c>
      <c r="C153" s="84">
        <f>SUM(C144:C152)</f>
        <v>806</v>
      </c>
    </row>
    <row r="154" spans="1:3" x14ac:dyDescent="0.3">
      <c r="A154" s="87"/>
      <c r="B154" s="22"/>
      <c r="C154" s="84"/>
    </row>
    <row r="155" spans="1:3" x14ac:dyDescent="0.3">
      <c r="A155" s="87" t="s">
        <v>289</v>
      </c>
      <c r="B155" s="79" t="s">
        <v>257</v>
      </c>
      <c r="C155" s="84"/>
    </row>
    <row r="156" spans="1:3" x14ac:dyDescent="0.3">
      <c r="A156" s="87"/>
      <c r="B156" s="21" t="s">
        <v>269</v>
      </c>
      <c r="C156" s="84"/>
    </row>
    <row r="157" spans="1:3" x14ac:dyDescent="0.3">
      <c r="A157" s="87"/>
      <c r="B157" s="22" t="s">
        <v>270</v>
      </c>
      <c r="C157" s="84">
        <f>600.48</f>
        <v>600.48</v>
      </c>
    </row>
    <row r="158" spans="1:3" x14ac:dyDescent="0.3">
      <c r="A158" s="87"/>
      <c r="B158" s="22"/>
      <c r="C158" s="84"/>
    </row>
    <row r="159" spans="1:3" x14ac:dyDescent="0.3">
      <c r="A159" s="87" t="s">
        <v>290</v>
      </c>
      <c r="B159" s="79" t="s">
        <v>279</v>
      </c>
      <c r="C159" s="55"/>
    </row>
    <row r="160" spans="1:3" ht="28.2" x14ac:dyDescent="0.3">
      <c r="A160" s="87"/>
      <c r="B160" s="5"/>
      <c r="C160" s="89" t="s">
        <v>277</v>
      </c>
    </row>
    <row r="161" spans="1:3" x14ac:dyDescent="0.3">
      <c r="A161" s="87"/>
      <c r="B161" s="22" t="s">
        <v>291</v>
      </c>
      <c r="C161" s="88">
        <v>1</v>
      </c>
    </row>
    <row r="162" spans="1:3" x14ac:dyDescent="0.3">
      <c r="A162" s="87"/>
      <c r="B162" s="22" t="s">
        <v>292</v>
      </c>
      <c r="C162" s="88">
        <v>3</v>
      </c>
    </row>
    <row r="163" spans="1:3" x14ac:dyDescent="0.3">
      <c r="A163" s="87"/>
      <c r="B163" s="22" t="s">
        <v>295</v>
      </c>
      <c r="C163" s="88">
        <v>3</v>
      </c>
    </row>
    <row r="164" spans="1:3" x14ac:dyDescent="0.3">
      <c r="A164" s="87"/>
      <c r="B164" s="22" t="s">
        <v>321</v>
      </c>
      <c r="C164" s="88">
        <v>2</v>
      </c>
    </row>
    <row r="165" spans="1:3" x14ac:dyDescent="0.3">
      <c r="A165" s="87"/>
      <c r="B165" s="22" t="s">
        <v>320</v>
      </c>
      <c r="C165" s="88">
        <v>2</v>
      </c>
    </row>
    <row r="166" spans="1:3" x14ac:dyDescent="0.3">
      <c r="A166" s="87"/>
      <c r="B166" s="22" t="s">
        <v>271</v>
      </c>
      <c r="C166" s="88">
        <v>1</v>
      </c>
    </row>
    <row r="167" spans="1:3" x14ac:dyDescent="0.3">
      <c r="A167" s="87"/>
      <c r="B167" s="22" t="s">
        <v>293</v>
      </c>
      <c r="C167" s="88">
        <v>1</v>
      </c>
    </row>
    <row r="168" spans="1:3" x14ac:dyDescent="0.3">
      <c r="A168" s="87"/>
      <c r="B168" s="22" t="s">
        <v>272</v>
      </c>
      <c r="C168" s="88">
        <v>1</v>
      </c>
    </row>
    <row r="169" spans="1:3" x14ac:dyDescent="0.3">
      <c r="A169" s="87"/>
      <c r="B169" s="22" t="s">
        <v>322</v>
      </c>
      <c r="C169" s="88">
        <v>2</v>
      </c>
    </row>
    <row r="170" spans="1:3" x14ac:dyDescent="0.3">
      <c r="A170" s="87"/>
      <c r="B170" s="22" t="s">
        <v>323</v>
      </c>
      <c r="C170" s="88">
        <v>2</v>
      </c>
    </row>
    <row r="171" spans="1:3" x14ac:dyDescent="0.3">
      <c r="A171" s="87"/>
      <c r="B171" s="22" t="s">
        <v>294</v>
      </c>
      <c r="C171" s="88">
        <v>2</v>
      </c>
    </row>
    <row r="172" spans="1:3" x14ac:dyDescent="0.3">
      <c r="A172" s="87"/>
      <c r="B172" s="22" t="s">
        <v>324</v>
      </c>
      <c r="C172" s="88">
        <v>1</v>
      </c>
    </row>
    <row r="173" spans="1:3" x14ac:dyDescent="0.3">
      <c r="A173" s="87"/>
      <c r="B173" s="22" t="s">
        <v>296</v>
      </c>
      <c r="C173" s="88">
        <v>1</v>
      </c>
    </row>
    <row r="174" spans="1:3" x14ac:dyDescent="0.3">
      <c r="A174" s="87"/>
      <c r="B174" s="22" t="s">
        <v>297</v>
      </c>
      <c r="C174" s="88">
        <v>1</v>
      </c>
    </row>
    <row r="175" spans="1:3" x14ac:dyDescent="0.3">
      <c r="A175" s="87"/>
      <c r="B175" s="22" t="s">
        <v>325</v>
      </c>
      <c r="C175" s="88">
        <v>3</v>
      </c>
    </row>
    <row r="176" spans="1:3" x14ac:dyDescent="0.3">
      <c r="A176" s="87"/>
      <c r="B176" s="22" t="s">
        <v>273</v>
      </c>
      <c r="C176" s="88">
        <v>1</v>
      </c>
    </row>
    <row r="177" spans="1:3" x14ac:dyDescent="0.3">
      <c r="A177" s="87"/>
      <c r="B177" s="22" t="s">
        <v>298</v>
      </c>
      <c r="C177" s="88">
        <v>2</v>
      </c>
    </row>
    <row r="178" spans="1:3" x14ac:dyDescent="0.3">
      <c r="A178" s="87"/>
      <c r="B178" s="22" t="s">
        <v>299</v>
      </c>
      <c r="C178" s="88">
        <v>2</v>
      </c>
    </row>
    <row r="179" spans="1:3" x14ac:dyDescent="0.3">
      <c r="A179" s="87"/>
      <c r="B179" s="22" t="s">
        <v>300</v>
      </c>
      <c r="C179" s="88">
        <v>2</v>
      </c>
    </row>
    <row r="180" spans="1:3" x14ac:dyDescent="0.3">
      <c r="A180" s="87"/>
      <c r="B180" s="22" t="s">
        <v>326</v>
      </c>
      <c r="C180" s="88">
        <v>4</v>
      </c>
    </row>
    <row r="181" spans="1:3" x14ac:dyDescent="0.3">
      <c r="A181" s="87"/>
      <c r="B181" s="22" t="s">
        <v>327</v>
      </c>
      <c r="C181" s="88">
        <v>4</v>
      </c>
    </row>
    <row r="182" spans="1:3" x14ac:dyDescent="0.3">
      <c r="A182" s="87"/>
      <c r="B182" s="22" t="s">
        <v>328</v>
      </c>
      <c r="C182" s="88">
        <v>1</v>
      </c>
    </row>
    <row r="183" spans="1:3" x14ac:dyDescent="0.3">
      <c r="A183" s="87"/>
      <c r="B183" s="22" t="s">
        <v>301</v>
      </c>
      <c r="C183" s="88">
        <v>3</v>
      </c>
    </row>
    <row r="184" spans="1:3" x14ac:dyDescent="0.3">
      <c r="A184" s="87"/>
      <c r="B184" s="22" t="s">
        <v>302</v>
      </c>
      <c r="C184" s="88">
        <v>4</v>
      </c>
    </row>
    <row r="185" spans="1:3" x14ac:dyDescent="0.3">
      <c r="A185" s="87"/>
      <c r="B185" s="22" t="s">
        <v>315</v>
      </c>
      <c r="C185" s="88">
        <v>1</v>
      </c>
    </row>
    <row r="186" spans="1:3" x14ac:dyDescent="0.3">
      <c r="A186" s="87"/>
      <c r="B186" s="22" t="s">
        <v>303</v>
      </c>
      <c r="C186" s="88">
        <v>1</v>
      </c>
    </row>
    <row r="187" spans="1:3" x14ac:dyDescent="0.3">
      <c r="A187" s="87"/>
      <c r="B187" s="22" t="s">
        <v>316</v>
      </c>
      <c r="C187" s="88">
        <v>1</v>
      </c>
    </row>
    <row r="188" spans="1:3" x14ac:dyDescent="0.3">
      <c r="A188" s="87"/>
      <c r="B188" s="22" t="s">
        <v>304</v>
      </c>
      <c r="C188" s="88">
        <v>1</v>
      </c>
    </row>
    <row r="189" spans="1:3" x14ac:dyDescent="0.3">
      <c r="A189" s="87"/>
      <c r="B189" s="22" t="s">
        <v>274</v>
      </c>
      <c r="C189" s="88">
        <v>1</v>
      </c>
    </row>
    <row r="190" spans="1:3" x14ac:dyDescent="0.3">
      <c r="A190" s="87"/>
      <c r="B190" s="22" t="s">
        <v>329</v>
      </c>
      <c r="C190" s="88">
        <v>3</v>
      </c>
    </row>
    <row r="191" spans="1:3" x14ac:dyDescent="0.3">
      <c r="A191" s="87"/>
      <c r="B191" s="22" t="s">
        <v>330</v>
      </c>
      <c r="C191" s="88">
        <v>5</v>
      </c>
    </row>
    <row r="192" spans="1:3" x14ac:dyDescent="0.3">
      <c r="A192" s="87"/>
      <c r="B192" s="22" t="s">
        <v>305</v>
      </c>
      <c r="C192" s="88">
        <v>3</v>
      </c>
    </row>
    <row r="193" spans="1:3" x14ac:dyDescent="0.3">
      <c r="A193" s="87"/>
      <c r="B193" s="22" t="s">
        <v>331</v>
      </c>
      <c r="C193" s="88">
        <v>1</v>
      </c>
    </row>
    <row r="194" spans="1:3" x14ac:dyDescent="0.3">
      <c r="A194" s="87"/>
      <c r="B194" s="22" t="s">
        <v>317</v>
      </c>
      <c r="C194" s="88">
        <v>1</v>
      </c>
    </row>
    <row r="195" spans="1:3" x14ac:dyDescent="0.3">
      <c r="A195" s="87"/>
      <c r="B195" s="22" t="s">
        <v>318</v>
      </c>
      <c r="C195" s="88">
        <v>2</v>
      </c>
    </row>
    <row r="196" spans="1:3" x14ac:dyDescent="0.3">
      <c r="A196" s="87"/>
      <c r="B196" s="22" t="s">
        <v>319</v>
      </c>
      <c r="C196" s="88">
        <v>1</v>
      </c>
    </row>
    <row r="197" spans="1:3" x14ac:dyDescent="0.3">
      <c r="A197" s="87"/>
      <c r="B197" s="22" t="s">
        <v>306</v>
      </c>
      <c r="C197" s="88">
        <v>4</v>
      </c>
    </row>
    <row r="198" spans="1:3" x14ac:dyDescent="0.3">
      <c r="A198" s="87"/>
      <c r="B198" s="22" t="s">
        <v>332</v>
      </c>
      <c r="C198" s="88">
        <v>1</v>
      </c>
    </row>
    <row r="199" spans="1:3" x14ac:dyDescent="0.3">
      <c r="A199" s="87"/>
      <c r="B199" s="22" t="s">
        <v>307</v>
      </c>
      <c r="C199" s="88">
        <v>2</v>
      </c>
    </row>
    <row r="200" spans="1:3" x14ac:dyDescent="0.3">
      <c r="A200" s="87"/>
      <c r="B200" s="22" t="s">
        <v>308</v>
      </c>
      <c r="C200" s="88">
        <v>1</v>
      </c>
    </row>
    <row r="201" spans="1:3" x14ac:dyDescent="0.3">
      <c r="A201" s="87"/>
      <c r="B201" s="22" t="s">
        <v>333</v>
      </c>
      <c r="C201" s="88">
        <v>5</v>
      </c>
    </row>
    <row r="202" spans="1:3" x14ac:dyDescent="0.3">
      <c r="A202" s="87"/>
      <c r="B202" s="22" t="s">
        <v>334</v>
      </c>
      <c r="C202" s="88">
        <v>4</v>
      </c>
    </row>
    <row r="203" spans="1:3" x14ac:dyDescent="0.3">
      <c r="A203" s="87"/>
      <c r="B203" s="22" t="s">
        <v>309</v>
      </c>
      <c r="C203" s="88">
        <v>4</v>
      </c>
    </row>
    <row r="204" spans="1:3" x14ac:dyDescent="0.3">
      <c r="A204" s="87"/>
      <c r="B204" s="22" t="s">
        <v>310</v>
      </c>
      <c r="C204" s="88">
        <v>4</v>
      </c>
    </row>
    <row r="205" spans="1:3" x14ac:dyDescent="0.3">
      <c r="A205" s="87"/>
      <c r="B205" s="22" t="s">
        <v>311</v>
      </c>
      <c r="C205" s="88">
        <v>1</v>
      </c>
    </row>
    <row r="206" spans="1:3" x14ac:dyDescent="0.3">
      <c r="A206" s="87"/>
      <c r="B206" s="22" t="s">
        <v>312</v>
      </c>
      <c r="C206" s="88">
        <v>3</v>
      </c>
    </row>
    <row r="207" spans="1:3" x14ac:dyDescent="0.3">
      <c r="A207" s="87"/>
      <c r="B207" s="22" t="s">
        <v>313</v>
      </c>
      <c r="C207" s="88">
        <v>1</v>
      </c>
    </row>
    <row r="208" spans="1:3" x14ac:dyDescent="0.3">
      <c r="A208" s="87"/>
      <c r="B208" s="22" t="s">
        <v>314</v>
      </c>
      <c r="C208" s="88">
        <v>2</v>
      </c>
    </row>
    <row r="209" spans="1:3" x14ac:dyDescent="0.3">
      <c r="A209" s="87"/>
      <c r="B209" s="22" t="s">
        <v>335</v>
      </c>
      <c r="C209" s="88">
        <v>1</v>
      </c>
    </row>
    <row r="210" spans="1:3" x14ac:dyDescent="0.3">
      <c r="A210" s="87"/>
      <c r="B210" s="22" t="s">
        <v>275</v>
      </c>
      <c r="C210" s="88">
        <v>1</v>
      </c>
    </row>
    <row r="211" spans="1:3" x14ac:dyDescent="0.3">
      <c r="A211" s="87"/>
      <c r="B211" s="22" t="s">
        <v>336</v>
      </c>
      <c r="C211" s="88">
        <v>5</v>
      </c>
    </row>
    <row r="212" spans="1:3" x14ac:dyDescent="0.3">
      <c r="A212" s="87"/>
      <c r="B212" s="22" t="s">
        <v>278</v>
      </c>
      <c r="C212" s="88">
        <v>2</v>
      </c>
    </row>
    <row r="213" spans="1:3" x14ac:dyDescent="0.3">
      <c r="A213" s="87"/>
      <c r="B213" s="22" t="s">
        <v>276</v>
      </c>
      <c r="C213" s="88">
        <v>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Workings</vt:lpstr>
      <vt:lpstr>Q. 7</vt:lpstr>
      <vt:lpstr>Q. 8</vt:lpstr>
      <vt:lpstr>Q. 9</vt:lpstr>
      <vt:lpstr>Q. 11</vt:lpstr>
      <vt:lpstr>Q. 12</vt:lpstr>
      <vt:lpstr>Q. 14</vt:lpstr>
      <vt:lpstr>Q. 15</vt:lpstr>
      <vt:lpstr>Q. 19</vt:lpstr>
      <vt:lpstr>Q.21</vt:lpstr>
      <vt:lpstr>Q. 27</vt:lpstr>
      <vt:lpstr>Q.21!_Ref425168592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dc:creator>
  <cp:lastModifiedBy>Emma Carew</cp:lastModifiedBy>
  <cp:lastPrinted>2018-05-30T20:47:44Z</cp:lastPrinted>
  <dcterms:created xsi:type="dcterms:W3CDTF">2018-05-27T23:54:30Z</dcterms:created>
  <dcterms:modified xsi:type="dcterms:W3CDTF">2018-05-30T23:44:03Z</dcterms:modified>
</cp:coreProperties>
</file>