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22066 - Rockpool Pelican Waters\6. Budget and Tender\6.2 Cashflow Reports\14. May\"/>
    </mc:Choice>
  </mc:AlternateContent>
  <xr:revisionPtr revIDLastSave="0" documentId="13_ncr:1_{22622146-C8A7-470A-AA6A-9E1A0980D5F0}" xr6:coauthVersionLast="47" xr6:coauthVersionMax="47" xr10:uidLastSave="{00000000-0000-0000-0000-000000000000}"/>
  <bookViews>
    <workbookView xWindow="-28920" yWindow="-465" windowWidth="29040" windowHeight="15840" xr2:uid="{00000000-000D-0000-FFFF-FFFF00000000}"/>
  </bookViews>
  <sheets>
    <sheet name="Cashflow" sheetId="1" r:id="rId1"/>
    <sheet name="Accrual" sheetId="9" r:id="rId2"/>
    <sheet name="Charts" sheetId="6" r:id="rId3"/>
    <sheet name="Info" sheetId="5" r:id="rId4"/>
    <sheet name="Breakup" sheetId="8" r:id="rId5"/>
    <sheet name="Margin Calculation" sheetId="10" r:id="rId6"/>
  </sheets>
  <definedNames>
    <definedName name="_xlnm._FilterDatabase" localSheetId="4" hidden="1">Breakup!$A$1:$H$145</definedName>
    <definedName name="Crystal_3_1_WEBI_DataGrid" localSheetId="1" hidden="1">Info!#REF!</definedName>
    <definedName name="Crystal_3_1_WEBI_DataGrid" hidden="1">Info!#REF!</definedName>
    <definedName name="Crystal_3_1_WEBI_HHeading" localSheetId="1" hidden="1">Info!#REF!</definedName>
    <definedName name="Crystal_3_1_WEBI_HHeading" hidden="1">Info!#REF!</definedName>
    <definedName name="Crystal_3_1_WEBI_Table" localSheetId="1" hidden="1">Info!#REF!</definedName>
    <definedName name="Crystal_3_1_WEBI_Table" hidden="1">Info!#REF!</definedName>
    <definedName name="Crystal_4_1_WEBI_DataGrid" localSheetId="1" hidden="1">#REF!</definedName>
    <definedName name="Crystal_4_1_WEBI_DataGrid" hidden="1">#REF!</definedName>
    <definedName name="Crystal_4_1_WEBI_HHeading" localSheetId="1" hidden="1">#REF!</definedName>
    <definedName name="Crystal_4_1_WEBI_HHeading" hidden="1">#REF!</definedName>
    <definedName name="Crystal_4_1_WEBI_Table" localSheetId="1" hidden="1">#REF!</definedName>
    <definedName name="Crystal_4_1_WEBI_Table" hidden="1">#REF!</definedName>
    <definedName name="Crystal_6_1_WEBI_DataGrid" localSheetId="1" hidden="1">#REF!</definedName>
    <definedName name="Crystal_6_1_WEBI_DataGrid" hidden="1">#REF!</definedName>
    <definedName name="Crystal_6_1_WEBI_HHeading" localSheetId="1" hidden="1">#REF!</definedName>
    <definedName name="Crystal_6_1_WEBI_HHeading" hidden="1">#REF!</definedName>
    <definedName name="Crystal_6_1_WEBI_Table" localSheetId="1" hidden="1">#REF!</definedName>
    <definedName name="Crystal_6_1_WEBI_Table" hidden="1">#REF!</definedName>
    <definedName name="Crystal_7_1_WEBI_DataGrid" localSheetId="1" hidden="1">Info!#REF!</definedName>
    <definedName name="Crystal_7_1_WEBI_DataGrid" hidden="1">Info!#REF!</definedName>
    <definedName name="Crystal_7_1_WEBI_HHeading" localSheetId="1" hidden="1">Info!#REF!</definedName>
    <definedName name="Crystal_7_1_WEBI_HHeading" hidden="1">Info!#REF!</definedName>
    <definedName name="Crystal_7_1_WEBI_Table" localSheetId="1" hidden="1">Info!#REF!</definedName>
    <definedName name="Crystal_7_1_WEBI_Table" hidden="1">Info!#REF!</definedName>
    <definedName name="LiveOffice_CellRange_A2_A725" localSheetId="1" hidden="1">#REF!</definedName>
    <definedName name="LiveOffice_CellRange_A2_A725" hidden="1">#REF!</definedName>
    <definedName name="LiveOffice_CellRange_B2_B725" localSheetId="1" hidden="1">#REF!</definedName>
    <definedName name="LiveOffice_CellRange_B2_B725" hidden="1">#REF!</definedName>
    <definedName name="LiveOffice_CellRange_C2_C132" localSheetId="1" hidden="1">#REF!</definedName>
    <definedName name="LiveOffice_CellRange_C2_C132" hidden="1">#REF!</definedName>
    <definedName name="LiveOffice_CellRange_D2_D360" localSheetId="1" hidden="1">#REF!</definedName>
    <definedName name="LiveOffice_CellRange_D2_D360" hidden="1">#REF!</definedName>
    <definedName name="LiveOffice_CellRange_E2_E726" localSheetId="1" hidden="1">#REF!</definedName>
    <definedName name="LiveOffice_CellRange_E2_E726" hidden="1">#REF!</definedName>
    <definedName name="LiveOffice_CellRange_F2_F131" localSheetId="1" hidden="1">#REF!</definedName>
    <definedName name="LiveOffice_CellRange_F2_F131" hidden="1">#REF!</definedName>
    <definedName name="LiveOffice_CellRange_G2_G697" localSheetId="1" hidden="1">#REF!</definedName>
    <definedName name="LiveOffice_CellRange_G2_G697" hidden="1">#REF!</definedName>
    <definedName name="LiveOffice_CellRange_H2_H73" localSheetId="1" hidden="1">#REF!</definedName>
    <definedName name="LiveOffice_CellRange_H2_H73" hidden="1">#REF!</definedName>
    <definedName name="_xlnm.Print_Titles" localSheetId="1">Accrual!$A:$D,Accrual!$1:$11</definedName>
    <definedName name="_xlnm.Print_Titles" localSheetId="0">Cashflow!$A:$D,Cashflow!$1:$11</definedName>
    <definedName name="WebiParam_enter_value_s__for__financial_period_number__636486888388411244" hidden="1">#REF!</definedName>
    <definedName name="WebiParam_enter_value_s__for__job_number__636486888450328169" hidden="1">#REF!</definedName>
    <definedName name="WebiParam_enter_value_s__for__job_number__636486888649094572" hidden="1">#REF!</definedName>
    <definedName name="WebiParam_enter_value_s__for__job_number__636486889724721215" hidden="1">#REF!</definedName>
    <definedName name="Z_169CD34D_0241_4D20_B138_117C4797EAB1_.wvu.Cols" localSheetId="1" hidden="1">Accrual!#REF!,Accrual!#REF!,Accrual!#REF!,Accrual!#REF!,Accrual!#REF!,Accrual!#REF!,Accrual!#REF!,Accrual!#REF!,Accrual!#REF!,Accrual!#REF!,Accrual!#REF!,Accrual!#REF!,Accrual!#REF!,Accrual!#REF!,Accrual!#REF!,Accrual!#REF!,Accrual!#REF!,Accrual!#REF!,Accrual!#REF!,Accrual!#REF!,Accrual!#REF!,Accrual!#REF!</definedName>
    <definedName name="Z_169CD34D_0241_4D20_B138_117C4797EAB1_.wvu.Cols" localSheetId="0" hidden="1">Cashflow!#REF!,Cashflow!#REF!,Cashflow!#REF!,Cashflow!#REF!,Cashflow!#REF!,Cashflow!#REF!,Cashflow!#REF!,Cashflow!#REF!,Cashflow!#REF!,Cashflow!#REF!,Cashflow!#REF!,Cashflow!#REF!,Cashflow!#REF!,Cashflow!#REF!,Cashflow!#REF!,Cashflow!#REF!,Cashflow!#REF!,Cashflow!#REF!,Cashflow!#REF!,Cashflow!#REF!,Cashflow!#REF!,Cashflow!#REF!</definedName>
    <definedName name="Z_56EAA32D_A85E_401C_98A4_1C3A7899AA50_.wvu.Cols" localSheetId="1" hidden="1">Accrual!$F:$G,Accrual!$H:$I,Accrual!$J:$K,Accrual!$L:$L,Accrual!#REF!,Accrual!#REF!,Accrual!#REF!,Accrual!#REF!,Accrual!#REF!,Accrual!#REF!,Accrual!#REF!,Accrual!#REF!,Accrual!#REF!,Accrual!#REF!,Accrual!#REF!,Accrual!#REF!,Accrual!#REF!,Accrual!#REF!,Accrual!#REF!,Accrual!#REF!,Accrual!#REF!,Accrual!#REF!</definedName>
    <definedName name="Z_56EAA32D_A85E_401C_98A4_1C3A7899AA50_.wvu.Cols" localSheetId="0" hidden="1">Cashflow!$E:$F,Cashflow!$G:$H,Cashflow!$I:$J,Cashflow!$K:$L,Cashflow!$M:$N,Cashflow!$O:$P,Cashflow!$Q:$R,Cashflow!$S:$T,Cashflow!$U:$V,Cashflow!$W:$X,Cashflow!$Y:$Z,Cashflow!#REF!,Cashflow!#REF!,Cashflow!#REF!,Cashflow!#REF!,Cashflow!#REF!,Cashflow!#REF!,Cashflow!#REF!,Cashflow!#REF!,Cashflow!#REF!,Cashflow!#REF!,Cashflow!#REF!</definedName>
    <definedName name="Z_923E1608_992F_4A46_BF6A_F2A437F78FBE_.wvu.Cols" localSheetId="2" hidden="1">Charts!#REF!,Charts!#REF!,Charts!#REF!,Charts!#REF!,Charts!#REF!,Charts!#REF!,Charts!#REF!,Charts!#REF!,Charts!#REF!,Charts!#REF!,Charts!#REF!,Charts!#REF!,Charts!#REF!,Charts!#REF!,Charts!#REF!,Charts!#REF!,Charts!#REF!,Charts!#REF!,Charts!#REF!,Charts!#REF!,Charts!#REF!,Charts!#REF!,Charts!#REF!,Charts!#REF!,Charts!#REF!,Charts!#REF!</definedName>
    <definedName name="Z_A034CC65_DD99_41D0_9D0E_72666CEF43E7_.wvu.Cols" localSheetId="2" hidden="1">Charts!#REF!,Charts!#REF!,Charts!#REF!,Charts!#REF!,Charts!#REF!,Charts!#REF!,Charts!#REF!,Charts!#REF!,Charts!#REF!,Charts!#REF!,Charts!#REF!,Charts!#REF!,Charts!#REF!,Charts!#REF!,Charts!#REF!,Charts!#REF!,Charts!#REF!,Charts!#REF!,Charts!#REF!,Charts!#REF!,Charts!#REF!,Charts!#REF!</definedName>
  </definedNames>
  <calcPr calcId="191029"/>
  <customWorkbookViews>
    <customWorkbookView name="Cost Trend Graph" guid="{923E1608-992F-4A46-BF6A-F2A437F78FBE}" maximized="1" xWindow="-1688" yWindow="-8" windowWidth="1696" windowHeight="1026" activeSheetId="6"/>
    <customWorkbookView name="Full" guid="{639E89E1-617D-4911-BF17-D7BEC20C5C85}" maximized="1" xWindow="-1688" yWindow="-8" windowWidth="1696" windowHeight="1026" activeSheetId="1"/>
    <customWorkbookView name="Revenue" guid="{56EAA32D-A85E-401C-98A4-1C3A7899AA50}" maximized="1" xWindow="-1688" yWindow="-8" windowWidth="1696" windowHeight="1026" activeSheetId="1"/>
    <customWorkbookView name="Costs" guid="{169CD34D-0241-4D20-B138-117C4797EAB1}" maximized="1" xWindow="-1688" yWindow="-8" windowWidth="1696" windowHeight="1026" activeSheetId="1"/>
    <customWorkbookView name="Rev Trend Graph" guid="{A034CC65-DD99-41D0-9D0E-72666CEF43E7}" maximized="1" xWindow="-1688" yWindow="-8" windowWidth="1696" windowHeight="1026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63" i="1" l="1"/>
  <c r="AB72" i="1" l="1"/>
  <c r="AN72" i="1"/>
  <c r="AL72" i="1"/>
  <c r="AJ72" i="1"/>
  <c r="AH72" i="1"/>
  <c r="AF72" i="1" l="1"/>
  <c r="AD72" i="1"/>
  <c r="D90" i="1"/>
  <c r="D89" i="1" l="1"/>
  <c r="D87" i="1" l="1"/>
  <c r="D86" i="1" l="1"/>
  <c r="AI1" i="10" l="1"/>
  <c r="AK1" i="10"/>
  <c r="AM1" i="10"/>
  <c r="AO1" i="10"/>
  <c r="AI2" i="10"/>
  <c r="AK2" i="10"/>
  <c r="B5" i="1" l="1"/>
  <c r="C95" i="1" s="1"/>
  <c r="A58" i="9" l="1"/>
  <c r="A57" i="9"/>
  <c r="G56" i="9"/>
  <c r="I56" i="9" s="1"/>
  <c r="K56" i="9" s="1"/>
  <c r="L56" i="9" s="1"/>
  <c r="C4" i="9"/>
  <c r="B4" i="9"/>
  <c r="A4" i="9"/>
  <c r="C2" i="9"/>
  <c r="B2" i="9"/>
  <c r="A2" i="9"/>
  <c r="D4" i="9" l="1"/>
  <c r="I1" i="9"/>
  <c r="G1" i="9"/>
  <c r="AB101" i="1"/>
  <c r="AD101" i="1"/>
  <c r="AF101" i="1"/>
  <c r="AH101" i="1"/>
  <c r="AJ101" i="1"/>
  <c r="AL101" i="1"/>
  <c r="AN101" i="1"/>
  <c r="K58" i="9" l="1"/>
  <c r="K1" i="9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4" i="1"/>
  <c r="L1" i="9" l="1"/>
  <c r="C4" i="1"/>
  <c r="A2" i="5"/>
  <c r="A1" i="5"/>
  <c r="B4" i="1" l="1"/>
  <c r="C2" i="1"/>
  <c r="B2" i="1"/>
  <c r="A2" i="1"/>
  <c r="W1" i="5" l="1"/>
  <c r="W2" i="5"/>
  <c r="W3" i="5"/>
  <c r="W5" i="5"/>
  <c r="D76" i="1" s="1"/>
  <c r="V10" i="5"/>
  <c r="W10" i="5"/>
  <c r="V11" i="5"/>
  <c r="W11" i="5"/>
  <c r="V12" i="5"/>
  <c r="W12" i="5"/>
  <c r="V13" i="5"/>
  <c r="W13" i="5"/>
  <c r="V14" i="5"/>
  <c r="W14" i="5"/>
  <c r="V15" i="5"/>
  <c r="W15" i="5"/>
  <c r="V16" i="5"/>
  <c r="W16" i="5"/>
  <c r="V17" i="5"/>
  <c r="W17" i="5"/>
  <c r="V18" i="5"/>
  <c r="W18" i="5"/>
  <c r="V19" i="5"/>
  <c r="W19" i="5"/>
  <c r="V20" i="5"/>
  <c r="W20" i="5"/>
  <c r="V21" i="5"/>
  <c r="W21" i="5"/>
  <c r="V22" i="5"/>
  <c r="W22" i="5"/>
  <c r="V23" i="5"/>
  <c r="W23" i="5"/>
  <c r="V24" i="5"/>
  <c r="W24" i="5"/>
  <c r="V25" i="5"/>
  <c r="W25" i="5"/>
  <c r="V26" i="5"/>
  <c r="W26" i="5"/>
  <c r="V27" i="5"/>
  <c r="W27" i="5"/>
  <c r="V28" i="5"/>
  <c r="W28" i="5"/>
  <c r="V29" i="5"/>
  <c r="W29" i="5"/>
  <c r="V30" i="5"/>
  <c r="W30" i="5"/>
  <c r="V31" i="5"/>
  <c r="W31" i="5"/>
  <c r="V32" i="5"/>
  <c r="W32" i="5"/>
  <c r="V33" i="5"/>
  <c r="W33" i="5"/>
  <c r="V34" i="5"/>
  <c r="W34" i="5"/>
  <c r="V35" i="5"/>
  <c r="W35" i="5"/>
  <c r="V36" i="5"/>
  <c r="W36" i="5"/>
  <c r="V37" i="5"/>
  <c r="W37" i="5"/>
  <c r="V38" i="5"/>
  <c r="W38" i="5"/>
  <c r="V39" i="5"/>
  <c r="W39" i="5"/>
  <c r="V40" i="5"/>
  <c r="W40" i="5"/>
  <c r="V41" i="5"/>
  <c r="W41" i="5"/>
  <c r="V42" i="5"/>
  <c r="W42" i="5"/>
  <c r="V43" i="5"/>
  <c r="W43" i="5"/>
  <c r="V44" i="5"/>
  <c r="W44" i="5"/>
  <c r="V45" i="5"/>
  <c r="W45" i="5"/>
  <c r="V46" i="5"/>
  <c r="W46" i="5"/>
  <c r="V47" i="5"/>
  <c r="W47" i="5"/>
  <c r="V48" i="5"/>
  <c r="W48" i="5"/>
  <c r="V49" i="5"/>
  <c r="W49" i="5"/>
  <c r="V50" i="5"/>
  <c r="W50" i="5"/>
  <c r="V51" i="5"/>
  <c r="W51" i="5"/>
  <c r="V52" i="5"/>
  <c r="W52" i="5"/>
  <c r="V53" i="5"/>
  <c r="W53" i="5"/>
  <c r="V54" i="5"/>
  <c r="W54" i="5"/>
  <c r="V55" i="5"/>
  <c r="W55" i="5"/>
  <c r="V56" i="5"/>
  <c r="W56" i="5"/>
  <c r="V57" i="5"/>
  <c r="W57" i="5"/>
  <c r="V58" i="5"/>
  <c r="W58" i="5"/>
  <c r="V59" i="5"/>
  <c r="W59" i="5"/>
  <c r="V60" i="5"/>
  <c r="W60" i="5"/>
  <c r="V61" i="5"/>
  <c r="W61" i="5"/>
  <c r="V62" i="5"/>
  <c r="W62" i="5"/>
  <c r="V63" i="5"/>
  <c r="W63" i="5"/>
  <c r="V64" i="5"/>
  <c r="W64" i="5"/>
  <c r="V65" i="5"/>
  <c r="W65" i="5"/>
  <c r="V66" i="5"/>
  <c r="W66" i="5"/>
  <c r="V67" i="5"/>
  <c r="W67" i="5"/>
  <c r="V68" i="5"/>
  <c r="W68" i="5"/>
  <c r="V69" i="5"/>
  <c r="W69" i="5"/>
  <c r="V70" i="5"/>
  <c r="W70" i="5"/>
  <c r="V71" i="5"/>
  <c r="W71" i="5"/>
  <c r="V72" i="5"/>
  <c r="W72" i="5"/>
  <c r="V73" i="5"/>
  <c r="W73" i="5"/>
  <c r="V74" i="5"/>
  <c r="W74" i="5"/>
  <c r="V75" i="5"/>
  <c r="W75" i="5"/>
  <c r="V76" i="5"/>
  <c r="W76" i="5"/>
  <c r="V77" i="5"/>
  <c r="W77" i="5"/>
  <c r="V78" i="5"/>
  <c r="W78" i="5"/>
  <c r="V79" i="5"/>
  <c r="W79" i="5"/>
  <c r="V80" i="5"/>
  <c r="W80" i="5"/>
  <c r="V81" i="5"/>
  <c r="W81" i="5"/>
  <c r="V82" i="5"/>
  <c r="W82" i="5"/>
  <c r="V83" i="5"/>
  <c r="W83" i="5"/>
  <c r="V84" i="5"/>
  <c r="W84" i="5"/>
  <c r="V85" i="5"/>
  <c r="W85" i="5"/>
  <c r="V86" i="5"/>
  <c r="W86" i="5"/>
  <c r="V87" i="5"/>
  <c r="W87" i="5"/>
  <c r="V88" i="5"/>
  <c r="W88" i="5"/>
  <c r="V89" i="5"/>
  <c r="W89" i="5"/>
  <c r="V90" i="5"/>
  <c r="W90" i="5"/>
  <c r="V91" i="5"/>
  <c r="W91" i="5"/>
  <c r="V92" i="5"/>
  <c r="W92" i="5"/>
  <c r="V93" i="5"/>
  <c r="W93" i="5"/>
  <c r="V94" i="5"/>
  <c r="W94" i="5"/>
  <c r="V95" i="5"/>
  <c r="W95" i="5"/>
  <c r="V96" i="5"/>
  <c r="W96" i="5"/>
  <c r="V97" i="5"/>
  <c r="W97" i="5"/>
  <c r="V98" i="5"/>
  <c r="W98" i="5"/>
  <c r="V99" i="5"/>
  <c r="W99" i="5"/>
  <c r="V100" i="5"/>
  <c r="W100" i="5"/>
  <c r="V101" i="5"/>
  <c r="W101" i="5"/>
  <c r="V102" i="5"/>
  <c r="W102" i="5"/>
  <c r="V103" i="5"/>
  <c r="W103" i="5"/>
  <c r="V104" i="5"/>
  <c r="W104" i="5"/>
  <c r="V105" i="5"/>
  <c r="W105" i="5"/>
  <c r="V106" i="5"/>
  <c r="W106" i="5"/>
  <c r="V107" i="5"/>
  <c r="W107" i="5"/>
  <c r="V108" i="5"/>
  <c r="W108" i="5"/>
  <c r="V109" i="5"/>
  <c r="W109" i="5"/>
  <c r="V110" i="5"/>
  <c r="W110" i="5"/>
  <c r="V111" i="5"/>
  <c r="W111" i="5"/>
  <c r="V112" i="5"/>
  <c r="W112" i="5"/>
  <c r="V113" i="5"/>
  <c r="W113" i="5"/>
  <c r="V114" i="5"/>
  <c r="W114" i="5"/>
  <c r="V115" i="5"/>
  <c r="W115" i="5"/>
  <c r="V116" i="5"/>
  <c r="W116" i="5"/>
  <c r="V117" i="5"/>
  <c r="W117" i="5"/>
  <c r="V118" i="5"/>
  <c r="W118" i="5"/>
  <c r="V119" i="5"/>
  <c r="W119" i="5"/>
  <c r="V120" i="5"/>
  <c r="W120" i="5"/>
  <c r="V121" i="5"/>
  <c r="W121" i="5"/>
  <c r="V122" i="5"/>
  <c r="W122" i="5"/>
  <c r="V123" i="5"/>
  <c r="W123" i="5"/>
  <c r="V124" i="5"/>
  <c r="W124" i="5"/>
  <c r="V125" i="5"/>
  <c r="W125" i="5"/>
  <c r="V126" i="5"/>
  <c r="W126" i="5"/>
  <c r="V127" i="5"/>
  <c r="W127" i="5"/>
  <c r="V128" i="5"/>
  <c r="W128" i="5"/>
  <c r="V129" i="5"/>
  <c r="W129" i="5"/>
  <c r="V130" i="5"/>
  <c r="W130" i="5"/>
  <c r="V131" i="5"/>
  <c r="W131" i="5"/>
  <c r="V132" i="5"/>
  <c r="W132" i="5"/>
  <c r="V133" i="5"/>
  <c r="W133" i="5"/>
  <c r="V134" i="5"/>
  <c r="W134" i="5"/>
  <c r="V135" i="5"/>
  <c r="W135" i="5"/>
  <c r="V136" i="5"/>
  <c r="W136" i="5"/>
  <c r="V137" i="5"/>
  <c r="W137" i="5"/>
  <c r="V138" i="5"/>
  <c r="W138" i="5"/>
  <c r="V139" i="5"/>
  <c r="W139" i="5"/>
  <c r="V140" i="5"/>
  <c r="W140" i="5"/>
  <c r="V141" i="5"/>
  <c r="W141" i="5"/>
  <c r="V142" i="5"/>
  <c r="W142" i="5"/>
  <c r="V143" i="5"/>
  <c r="W143" i="5"/>
  <c r="V144" i="5"/>
  <c r="W144" i="5"/>
  <c r="V145" i="5"/>
  <c r="W145" i="5"/>
  <c r="V146" i="5"/>
  <c r="W146" i="5"/>
  <c r="V147" i="5"/>
  <c r="W147" i="5"/>
  <c r="V148" i="5"/>
  <c r="W148" i="5"/>
  <c r="V149" i="5"/>
  <c r="W149" i="5"/>
  <c r="V150" i="5"/>
  <c r="W150" i="5"/>
  <c r="V151" i="5"/>
  <c r="W151" i="5"/>
  <c r="V152" i="5"/>
  <c r="W152" i="5"/>
  <c r="V153" i="5"/>
  <c r="W153" i="5"/>
  <c r="V154" i="5"/>
  <c r="W154" i="5"/>
  <c r="V155" i="5"/>
  <c r="W155" i="5"/>
  <c r="V156" i="5"/>
  <c r="W156" i="5"/>
  <c r="V157" i="5"/>
  <c r="W157" i="5"/>
  <c r="V158" i="5"/>
  <c r="W158" i="5"/>
  <c r="V159" i="5"/>
  <c r="W159" i="5"/>
  <c r="V160" i="5"/>
  <c r="W160" i="5"/>
  <c r="V161" i="5"/>
  <c r="W161" i="5"/>
  <c r="V162" i="5"/>
  <c r="W162" i="5"/>
  <c r="V163" i="5"/>
  <c r="W163" i="5"/>
  <c r="V164" i="5"/>
  <c r="W164" i="5"/>
  <c r="V165" i="5"/>
  <c r="W165" i="5"/>
  <c r="V166" i="5"/>
  <c r="W166" i="5"/>
  <c r="V167" i="5"/>
  <c r="W167" i="5"/>
  <c r="V168" i="5"/>
  <c r="W168" i="5"/>
  <c r="V169" i="5"/>
  <c r="W169" i="5"/>
  <c r="V170" i="5"/>
  <c r="W170" i="5"/>
  <c r="V171" i="5"/>
  <c r="W171" i="5"/>
  <c r="V172" i="5"/>
  <c r="W172" i="5"/>
  <c r="V173" i="5"/>
  <c r="W173" i="5"/>
  <c r="V174" i="5"/>
  <c r="W174" i="5"/>
  <c r="V175" i="5"/>
  <c r="W175" i="5"/>
  <c r="V176" i="5"/>
  <c r="W176" i="5"/>
  <c r="V177" i="5"/>
  <c r="W177" i="5"/>
  <c r="V178" i="5"/>
  <c r="W178" i="5"/>
  <c r="V179" i="5"/>
  <c r="W179" i="5"/>
  <c r="V180" i="5"/>
  <c r="W180" i="5"/>
  <c r="V181" i="5"/>
  <c r="W181" i="5"/>
  <c r="V182" i="5"/>
  <c r="W182" i="5"/>
  <c r="V183" i="5"/>
  <c r="W183" i="5"/>
  <c r="V184" i="5"/>
  <c r="W184" i="5"/>
  <c r="V185" i="5"/>
  <c r="W185" i="5"/>
  <c r="V186" i="5"/>
  <c r="W186" i="5"/>
  <c r="V187" i="5"/>
  <c r="W187" i="5"/>
  <c r="V188" i="5"/>
  <c r="W188" i="5"/>
  <c r="V189" i="5"/>
  <c r="W189" i="5"/>
  <c r="V190" i="5"/>
  <c r="W190" i="5"/>
  <c r="V191" i="5"/>
  <c r="W191" i="5"/>
  <c r="V192" i="5"/>
  <c r="W192" i="5"/>
  <c r="V193" i="5"/>
  <c r="W193" i="5"/>
  <c r="V194" i="5"/>
  <c r="W194" i="5"/>
  <c r="V195" i="5"/>
  <c r="W195" i="5"/>
  <c r="V196" i="5"/>
  <c r="W196" i="5"/>
  <c r="V197" i="5"/>
  <c r="W197" i="5"/>
  <c r="V198" i="5"/>
  <c r="W198" i="5"/>
  <c r="V199" i="5"/>
  <c r="W199" i="5"/>
  <c r="V200" i="5"/>
  <c r="W200" i="5"/>
  <c r="W6" i="5" l="1"/>
  <c r="D41" i="1" s="1"/>
  <c r="W4" i="5"/>
  <c r="D62" i="1" l="1"/>
  <c r="D64" i="1"/>
  <c r="D32" i="1"/>
  <c r="D22" i="1"/>
  <c r="D63" i="1"/>
  <c r="D35" i="1"/>
  <c r="D37" i="1"/>
  <c r="D42" i="1"/>
  <c r="D39" i="1"/>
  <c r="D34" i="1"/>
  <c r="D36" i="1"/>
  <c r="D38" i="1"/>
  <c r="D65" i="1"/>
  <c r="D43" i="1"/>
  <c r="D70" i="1"/>
  <c r="D40" i="1"/>
  <c r="D21" i="1"/>
  <c r="D66" i="1"/>
  <c r="D31" i="1"/>
  <c r="D68" i="1"/>
  <c r="D16" i="1"/>
  <c r="D67" i="1"/>
  <c r="D33" i="1"/>
  <c r="I50" i="9"/>
  <c r="I46" i="9"/>
  <c r="I42" i="9"/>
  <c r="I38" i="9"/>
  <c r="I34" i="9"/>
  <c r="I30" i="9"/>
  <c r="I26" i="9"/>
  <c r="I17" i="9"/>
  <c r="I27" i="9"/>
  <c r="I22" i="9"/>
  <c r="I54" i="9"/>
  <c r="I37" i="9"/>
  <c r="I29" i="9"/>
  <c r="I25" i="9"/>
  <c r="I16" i="9"/>
  <c r="I43" i="9"/>
  <c r="I31" i="9"/>
  <c r="I49" i="9"/>
  <c r="I45" i="9"/>
  <c r="I41" i="9"/>
  <c r="I33" i="9"/>
  <c r="I21" i="9"/>
  <c r="I47" i="9"/>
  <c r="I23" i="9"/>
  <c r="I53" i="9"/>
  <c r="I40" i="9"/>
  <c r="I32" i="9"/>
  <c r="I24" i="9"/>
  <c r="I14" i="9"/>
  <c r="I51" i="9"/>
  <c r="I35" i="9"/>
  <c r="I13" i="9"/>
  <c r="I48" i="9"/>
  <c r="I44" i="9"/>
  <c r="I36" i="9"/>
  <c r="I28" i="9"/>
  <c r="I20" i="9"/>
  <c r="I39" i="9"/>
  <c r="I19" i="9"/>
  <c r="D20" i="9"/>
  <c r="D28" i="9"/>
  <c r="D36" i="9"/>
  <c r="D44" i="9"/>
  <c r="D54" i="9"/>
  <c r="D14" i="9"/>
  <c r="D35" i="9"/>
  <c r="D51" i="9"/>
  <c r="D24" i="9"/>
  <c r="D32" i="9"/>
  <c r="D40" i="9"/>
  <c r="D48" i="9"/>
  <c r="D27" i="9"/>
  <c r="D21" i="9"/>
  <c r="D29" i="9"/>
  <c r="D37" i="9"/>
  <c r="D45" i="9"/>
  <c r="D31" i="9"/>
  <c r="D13" i="9"/>
  <c r="D16" i="9"/>
  <c r="D25" i="9"/>
  <c r="D33" i="9"/>
  <c r="D41" i="9"/>
  <c r="D49" i="9"/>
  <c r="D53" i="9"/>
  <c r="D39" i="9"/>
  <c r="D17" i="9"/>
  <c r="D26" i="9"/>
  <c r="D30" i="9"/>
  <c r="D38" i="9"/>
  <c r="D46" i="9"/>
  <c r="D19" i="9"/>
  <c r="D47" i="9"/>
  <c r="D22" i="9"/>
  <c r="D34" i="9"/>
  <c r="D42" i="9"/>
  <c r="D50" i="9"/>
  <c r="D23" i="9"/>
  <c r="D43" i="9"/>
  <c r="D55" i="1"/>
  <c r="D56" i="1"/>
  <c r="D54" i="1"/>
  <c r="D15" i="1"/>
  <c r="D57" i="1"/>
  <c r="D53" i="1"/>
  <c r="D60" i="1"/>
  <c r="D52" i="1"/>
  <c r="D58" i="1"/>
  <c r="D59" i="1"/>
  <c r="D24" i="1"/>
  <c r="D47" i="1"/>
  <c r="D18" i="1"/>
  <c r="D45" i="1"/>
  <c r="D46" i="1"/>
  <c r="D27" i="1"/>
  <c r="D28" i="1"/>
  <c r="D29" i="1"/>
  <c r="D19" i="1"/>
  <c r="D26" i="1"/>
  <c r="D30" i="1"/>
  <c r="D23" i="1"/>
  <c r="D44" i="1"/>
  <c r="D25" i="1"/>
  <c r="D20" i="1"/>
  <c r="D51" i="1"/>
  <c r="H23" i="9" l="1"/>
  <c r="H43" i="9"/>
  <c r="H17" i="9"/>
  <c r="H35" i="9"/>
  <c r="H16" i="9"/>
  <c r="H26" i="9"/>
  <c r="H48" i="9"/>
  <c r="H51" i="9"/>
  <c r="H21" i="9"/>
  <c r="H25" i="9"/>
  <c r="H30" i="9"/>
  <c r="H33" i="9"/>
  <c r="H20" i="9"/>
  <c r="H14" i="9"/>
  <c r="H29" i="9"/>
  <c r="H34" i="9"/>
  <c r="H28" i="9"/>
  <c r="H24" i="9"/>
  <c r="H41" i="9"/>
  <c r="H37" i="9"/>
  <c r="H38" i="9"/>
  <c r="H19" i="9"/>
  <c r="H36" i="9"/>
  <c r="H32" i="9"/>
  <c r="H45" i="9"/>
  <c r="H54" i="9"/>
  <c r="H42" i="9"/>
  <c r="H47" i="9"/>
  <c r="D60" i="9"/>
  <c r="D58" i="9" s="1"/>
  <c r="H44" i="9"/>
  <c r="H40" i="9"/>
  <c r="H49" i="9"/>
  <c r="H22" i="9"/>
  <c r="H46" i="9"/>
  <c r="H13" i="9"/>
  <c r="I60" i="9"/>
  <c r="H39" i="9"/>
  <c r="H53" i="9"/>
  <c r="H31" i="9"/>
  <c r="H27" i="9"/>
  <c r="H50" i="9"/>
  <c r="I58" i="9" l="1"/>
  <c r="A3" i="5"/>
  <c r="A8" i="5" l="1"/>
  <c r="A75" i="1"/>
  <c r="A10" i="5" l="1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9" i="5" l="1"/>
  <c r="Z14" i="1" l="1"/>
  <c r="Y14" i="1" s="1"/>
  <c r="Z31" i="1"/>
  <c r="Z58" i="1"/>
  <c r="Z47" i="1"/>
  <c r="Z21" i="1"/>
  <c r="Z12" i="1"/>
  <c r="Y12" i="1" s="1"/>
  <c r="Z30" i="1"/>
  <c r="Z44" i="1"/>
  <c r="Z55" i="1"/>
  <c r="Z27" i="1"/>
  <c r="Z15" i="1"/>
  <c r="Z25" i="1"/>
  <c r="Z59" i="1"/>
  <c r="Z51" i="1"/>
  <c r="Z70" i="1"/>
  <c r="Z49" i="1"/>
  <c r="Z54" i="1"/>
  <c r="Z40" i="1"/>
  <c r="Z53" i="1"/>
  <c r="Z50" i="1"/>
  <c r="Z17" i="1"/>
  <c r="Y17" i="1" s="1"/>
  <c r="Z35" i="1"/>
  <c r="Z32" i="1"/>
  <c r="Z71" i="1"/>
  <c r="Y71" i="1" s="1"/>
  <c r="Z16" i="1"/>
  <c r="Z38" i="1"/>
  <c r="Z20" i="1"/>
  <c r="Z13" i="1"/>
  <c r="Z48" i="1"/>
  <c r="Z39" i="1"/>
  <c r="Z28" i="1"/>
  <c r="Z45" i="1"/>
  <c r="Z61" i="1"/>
  <c r="Y61" i="1" s="1"/>
  <c r="Z65" i="1"/>
  <c r="Z62" i="1"/>
  <c r="Z46" i="1"/>
  <c r="Z23" i="1"/>
  <c r="Z57" i="1"/>
  <c r="Z67" i="1"/>
  <c r="Z73" i="1"/>
  <c r="Z66" i="1"/>
  <c r="Z34" i="1"/>
  <c r="Z42" i="1"/>
  <c r="Z22" i="1"/>
  <c r="Z33" i="1"/>
  <c r="Z60" i="1"/>
  <c r="Z18" i="1"/>
  <c r="Z43" i="1"/>
  <c r="Y43" i="1" s="1"/>
  <c r="Z41" i="1"/>
  <c r="Z72" i="1"/>
  <c r="Y72" i="1" s="1"/>
  <c r="Z74" i="1"/>
  <c r="Y74" i="1" s="1"/>
  <c r="Z56" i="1"/>
  <c r="Z52" i="1"/>
  <c r="Z64" i="1"/>
  <c r="Z37" i="1"/>
  <c r="Z19" i="1"/>
  <c r="Y19" i="1" s="1"/>
  <c r="Z24" i="1"/>
  <c r="Z29" i="1"/>
  <c r="Z63" i="1"/>
  <c r="Y63" i="1" s="1"/>
  <c r="Z36" i="1"/>
  <c r="Z26" i="1"/>
  <c r="Z68" i="1"/>
  <c r="Z69" i="1"/>
  <c r="Y69" i="1" s="1"/>
  <c r="C42" i="1"/>
  <c r="C36" i="1"/>
  <c r="C60" i="1"/>
  <c r="C29" i="1"/>
  <c r="C19" i="1"/>
  <c r="C53" i="1"/>
  <c r="C33" i="1"/>
  <c r="C59" i="1"/>
  <c r="C52" i="1"/>
  <c r="C26" i="1"/>
  <c r="C24" i="1"/>
  <c r="C30" i="1"/>
  <c r="C35" i="1"/>
  <c r="C28" i="1"/>
  <c r="C41" i="1"/>
  <c r="C66" i="1"/>
  <c r="C57" i="1"/>
  <c r="C65" i="1"/>
  <c r="C63" i="1"/>
  <c r="C64" i="1"/>
  <c r="C54" i="1"/>
  <c r="AB54" i="1" s="1"/>
  <c r="AD54" i="1" s="1"/>
  <c r="AF54" i="1" s="1"/>
  <c r="AH54" i="1" s="1"/>
  <c r="AJ54" i="1" s="1"/>
  <c r="AL54" i="1" s="1"/>
  <c r="AN54" i="1" s="1"/>
  <c r="C31" i="1"/>
  <c r="C55" i="1"/>
  <c r="C68" i="1"/>
  <c r="C22" i="1"/>
  <c r="C46" i="1"/>
  <c r="C21" i="1"/>
  <c r="C67" i="1"/>
  <c r="C58" i="1"/>
  <c r="C27" i="1"/>
  <c r="C34" i="1"/>
  <c r="C38" i="1"/>
  <c r="C25" i="1"/>
  <c r="AB25" i="1" s="1"/>
  <c r="AD25" i="1" s="1"/>
  <c r="AF25" i="1" s="1"/>
  <c r="AH25" i="1" s="1"/>
  <c r="AJ25" i="1" s="1"/>
  <c r="AL25" i="1" s="1"/>
  <c r="AN25" i="1" s="1"/>
  <c r="C16" i="1"/>
  <c r="C47" i="1"/>
  <c r="C62" i="1"/>
  <c r="C48" i="1"/>
  <c r="C20" i="1"/>
  <c r="C39" i="1"/>
  <c r="C51" i="1"/>
  <c r="C49" i="1"/>
  <c r="C37" i="1"/>
  <c r="C56" i="1"/>
  <c r="C44" i="1"/>
  <c r="C32" i="1"/>
  <c r="C43" i="1"/>
  <c r="C50" i="1"/>
  <c r="C40" i="1"/>
  <c r="C45" i="1"/>
  <c r="C23" i="1"/>
  <c r="C70" i="1"/>
  <c r="AN8" i="1"/>
  <c r="AM8" i="1" s="1"/>
  <c r="G49" i="9"/>
  <c r="G42" i="9"/>
  <c r="C44" i="9"/>
  <c r="E44" i="9" s="1"/>
  <c r="C29" i="9"/>
  <c r="E29" i="9" s="1"/>
  <c r="AH8" i="1"/>
  <c r="AG8" i="1" s="1"/>
  <c r="G20" i="9"/>
  <c r="G35" i="9"/>
  <c r="C51" i="9"/>
  <c r="E51" i="9" s="1"/>
  <c r="C23" i="9"/>
  <c r="E23" i="9" s="1"/>
  <c r="C46" i="9"/>
  <c r="E46" i="9" s="1"/>
  <c r="G48" i="9"/>
  <c r="G33" i="9"/>
  <c r="G26" i="9"/>
  <c r="C14" i="9"/>
  <c r="E14" i="9" s="1"/>
  <c r="C37" i="9"/>
  <c r="E37" i="9" s="1"/>
  <c r="AD8" i="1"/>
  <c r="AC8" i="1" s="1"/>
  <c r="G50" i="9"/>
  <c r="G27" i="9"/>
  <c r="C40" i="9"/>
  <c r="E40" i="9" s="1"/>
  <c r="C53" i="9"/>
  <c r="E53" i="9" s="1"/>
  <c r="C41" i="9"/>
  <c r="E41" i="9" s="1"/>
  <c r="G40" i="9"/>
  <c r="G16" i="9"/>
  <c r="G53" i="9"/>
  <c r="C22" i="9"/>
  <c r="E22" i="9" s="1"/>
  <c r="C45" i="9"/>
  <c r="E45" i="9" s="1"/>
  <c r="G38" i="9"/>
  <c r="G19" i="9"/>
  <c r="C32" i="9"/>
  <c r="E32" i="9" s="1"/>
  <c r="C16" i="9"/>
  <c r="E16" i="9" s="1"/>
  <c r="C35" i="9"/>
  <c r="E35" i="9" s="1"/>
  <c r="G32" i="9"/>
  <c r="G47" i="9"/>
  <c r="G37" i="9"/>
  <c r="C34" i="9"/>
  <c r="E34" i="9" s="1"/>
  <c r="C13" i="9"/>
  <c r="AL8" i="1"/>
  <c r="AK8" i="1" s="1"/>
  <c r="G17" i="9"/>
  <c r="G22" i="9"/>
  <c r="C39" i="9"/>
  <c r="E39" i="9" s="1"/>
  <c r="G54" i="9"/>
  <c r="C19" i="9"/>
  <c r="E19" i="9" s="1"/>
  <c r="AB8" i="1"/>
  <c r="AA8" i="1" s="1"/>
  <c r="G43" i="9"/>
  <c r="C36" i="9"/>
  <c r="E36" i="9" s="1"/>
  <c r="C49" i="9"/>
  <c r="E49" i="9" s="1"/>
  <c r="G36" i="9"/>
  <c r="G23" i="9"/>
  <c r="C25" i="9"/>
  <c r="E25" i="9" s="1"/>
  <c r="C54" i="9"/>
  <c r="E54" i="9" s="1"/>
  <c r="G14" i="9"/>
  <c r="G34" i="9"/>
  <c r="C50" i="9"/>
  <c r="E50" i="9" s="1"/>
  <c r="C42" i="9"/>
  <c r="E42" i="9" s="1"/>
  <c r="G28" i="9"/>
  <c r="G13" i="9"/>
  <c r="C30" i="9"/>
  <c r="E30" i="9" s="1"/>
  <c r="C27" i="9"/>
  <c r="E27" i="9" s="1"/>
  <c r="G46" i="9"/>
  <c r="G29" i="9"/>
  <c r="F29" i="9" s="1"/>
  <c r="J29" i="9" s="1"/>
  <c r="K29" i="9" s="1"/>
  <c r="C31" i="9"/>
  <c r="E31" i="9" s="1"/>
  <c r="G45" i="9"/>
  <c r="G21" i="9"/>
  <c r="C26" i="9"/>
  <c r="E26" i="9" s="1"/>
  <c r="C43" i="9"/>
  <c r="E43" i="9" s="1"/>
  <c r="G30" i="9"/>
  <c r="G41" i="9"/>
  <c r="C47" i="9"/>
  <c r="E47" i="9" s="1"/>
  <c r="AJ8" i="1"/>
  <c r="AI8" i="1" s="1"/>
  <c r="G25" i="9"/>
  <c r="C20" i="9"/>
  <c r="E20" i="9" s="1"/>
  <c r="C33" i="9"/>
  <c r="E33" i="9" s="1"/>
  <c r="G52" i="9"/>
  <c r="F52" i="9" s="1"/>
  <c r="G39" i="9"/>
  <c r="C24" i="9"/>
  <c r="E24" i="9" s="1"/>
  <c r="C21" i="9"/>
  <c r="E21" i="9" s="1"/>
  <c r="AF8" i="1"/>
  <c r="AE8" i="1" s="1"/>
  <c r="G51" i="9"/>
  <c r="F51" i="9" s="1"/>
  <c r="J51" i="9" s="1"/>
  <c r="K51" i="9" s="1"/>
  <c r="C28" i="9"/>
  <c r="E28" i="9" s="1"/>
  <c r="C17" i="9"/>
  <c r="E17" i="9" s="1"/>
  <c r="G44" i="9"/>
  <c r="F44" i="9" s="1"/>
  <c r="J44" i="9" s="1"/>
  <c r="K44" i="9" s="1"/>
  <c r="G31" i="9"/>
  <c r="C48" i="9"/>
  <c r="E48" i="9" s="1"/>
  <c r="C38" i="9"/>
  <c r="E38" i="9" s="1"/>
  <c r="G24" i="9"/>
  <c r="F24" i="9" s="1"/>
  <c r="J24" i="9" s="1"/>
  <c r="K24" i="9" s="1"/>
  <c r="C15" i="1"/>
  <c r="C73" i="1"/>
  <c r="C13" i="1"/>
  <c r="C18" i="1"/>
  <c r="Y73" i="1" l="1"/>
  <c r="Y45" i="1"/>
  <c r="Y49" i="1"/>
  <c r="Y44" i="1"/>
  <c r="Y37" i="1"/>
  <c r="Y18" i="1"/>
  <c r="Y67" i="1"/>
  <c r="Y28" i="1"/>
  <c r="Y32" i="1"/>
  <c r="Y70" i="1"/>
  <c r="Y30" i="1"/>
  <c r="Y68" i="1"/>
  <c r="Y64" i="1"/>
  <c r="Y60" i="1"/>
  <c r="Y57" i="1"/>
  <c r="Y39" i="1"/>
  <c r="Y35" i="1"/>
  <c r="Y51" i="1"/>
  <c r="Y26" i="1"/>
  <c r="Y52" i="1"/>
  <c r="Y33" i="1"/>
  <c r="Y23" i="1"/>
  <c r="Y48" i="1"/>
  <c r="Y59" i="1"/>
  <c r="Y21" i="1"/>
  <c r="Y36" i="1"/>
  <c r="Y56" i="1"/>
  <c r="Y22" i="1"/>
  <c r="Y46" i="1"/>
  <c r="Y13" i="1"/>
  <c r="Y50" i="1"/>
  <c r="Y25" i="1"/>
  <c r="Y47" i="1"/>
  <c r="Y42" i="1"/>
  <c r="Y62" i="1"/>
  <c r="Y20" i="1"/>
  <c r="Y53" i="1"/>
  <c r="Y15" i="1"/>
  <c r="Y58" i="1"/>
  <c r="Y29" i="1"/>
  <c r="Y34" i="1"/>
  <c r="Y65" i="1"/>
  <c r="Y38" i="1"/>
  <c r="Y40" i="1"/>
  <c r="Y27" i="1"/>
  <c r="Y31" i="1"/>
  <c r="Y24" i="1"/>
  <c r="Y41" i="1"/>
  <c r="Y66" i="1"/>
  <c r="Y16" i="1"/>
  <c r="Y54" i="1"/>
  <c r="Y55" i="1"/>
  <c r="F37" i="9"/>
  <c r="J37" i="9" s="1"/>
  <c r="K37" i="9" s="1"/>
  <c r="AB45" i="1"/>
  <c r="AD45" i="1" s="1"/>
  <c r="AF45" i="1" s="1"/>
  <c r="AH45" i="1" s="1"/>
  <c r="AJ45" i="1" s="1"/>
  <c r="AL45" i="1" s="1"/>
  <c r="AN45" i="1" s="1"/>
  <c r="AB55" i="1"/>
  <c r="AD55" i="1" s="1"/>
  <c r="AF55" i="1" s="1"/>
  <c r="AH55" i="1" s="1"/>
  <c r="AJ55" i="1" s="1"/>
  <c r="AL55" i="1" s="1"/>
  <c r="AN55" i="1" s="1"/>
  <c r="AB30" i="1"/>
  <c r="AD30" i="1" s="1"/>
  <c r="AF30" i="1" s="1"/>
  <c r="AH30" i="1" s="1"/>
  <c r="AJ30" i="1" s="1"/>
  <c r="AL30" i="1" s="1"/>
  <c r="AN30" i="1" s="1"/>
  <c r="AB29" i="1"/>
  <c r="AD29" i="1" s="1"/>
  <c r="AF29" i="1" s="1"/>
  <c r="AH29" i="1" s="1"/>
  <c r="AJ29" i="1" s="1"/>
  <c r="AL29" i="1" s="1"/>
  <c r="AN29" i="1" s="1"/>
  <c r="AB27" i="1"/>
  <c r="AD27" i="1" s="1"/>
  <c r="AF27" i="1" s="1"/>
  <c r="AH27" i="1" s="1"/>
  <c r="AJ27" i="1" s="1"/>
  <c r="AL27" i="1" s="1"/>
  <c r="AN27" i="1" s="1"/>
  <c r="F53" i="9"/>
  <c r="J53" i="9" s="1"/>
  <c r="K53" i="9" s="1"/>
  <c r="F17" i="9"/>
  <c r="J17" i="9" s="1"/>
  <c r="K17" i="9" s="1"/>
  <c r="AB52" i="1"/>
  <c r="AD52" i="1" s="1"/>
  <c r="AF52" i="1" s="1"/>
  <c r="AH52" i="1" s="1"/>
  <c r="AJ52" i="1" s="1"/>
  <c r="AL52" i="1" s="1"/>
  <c r="AN52" i="1" s="1"/>
  <c r="AB58" i="1"/>
  <c r="AD58" i="1" s="1"/>
  <c r="AF58" i="1" s="1"/>
  <c r="AH58" i="1" s="1"/>
  <c r="AJ58" i="1" s="1"/>
  <c r="AL58" i="1" s="1"/>
  <c r="AN58" i="1" s="1"/>
  <c r="AB23" i="1"/>
  <c r="AD23" i="1" s="1"/>
  <c r="AF23" i="1" s="1"/>
  <c r="AH23" i="1" s="1"/>
  <c r="AJ23" i="1" s="1"/>
  <c r="AL23" i="1" s="1"/>
  <c r="AN23" i="1" s="1"/>
  <c r="AB53" i="1"/>
  <c r="AD53" i="1" s="1"/>
  <c r="AF53" i="1" s="1"/>
  <c r="AH53" i="1" s="1"/>
  <c r="AJ53" i="1" s="1"/>
  <c r="AL53" i="1" s="1"/>
  <c r="AN53" i="1" s="1"/>
  <c r="AB51" i="1"/>
  <c r="AD51" i="1" s="1"/>
  <c r="AF51" i="1" s="1"/>
  <c r="AH51" i="1" s="1"/>
  <c r="AJ51" i="1" s="1"/>
  <c r="AL51" i="1" s="1"/>
  <c r="AN51" i="1" s="1"/>
  <c r="AB46" i="1"/>
  <c r="AD46" i="1" s="1"/>
  <c r="AF46" i="1" s="1"/>
  <c r="AH46" i="1" s="1"/>
  <c r="AJ46" i="1" s="1"/>
  <c r="AL46" i="1" s="1"/>
  <c r="AN46" i="1" s="1"/>
  <c r="C78" i="1"/>
  <c r="C76" i="1" s="1"/>
  <c r="AB66" i="1"/>
  <c r="AD66" i="1" s="1"/>
  <c r="AF66" i="1" s="1"/>
  <c r="AH66" i="1" s="1"/>
  <c r="AJ66" i="1" s="1"/>
  <c r="AL66" i="1" s="1"/>
  <c r="AN66" i="1" s="1"/>
  <c r="AB64" i="1"/>
  <c r="AD64" i="1" s="1"/>
  <c r="AF64" i="1" s="1"/>
  <c r="AH64" i="1" s="1"/>
  <c r="AJ64" i="1" s="1"/>
  <c r="AL64" i="1" s="1"/>
  <c r="AN64" i="1" s="1"/>
  <c r="AB16" i="1"/>
  <c r="AD16" i="1" s="1"/>
  <c r="AF16" i="1" s="1"/>
  <c r="AH16" i="1" s="1"/>
  <c r="AJ16" i="1" s="1"/>
  <c r="AL16" i="1" s="1"/>
  <c r="AN16" i="1" s="1"/>
  <c r="AB33" i="1"/>
  <c r="AD33" i="1" s="1"/>
  <c r="AF33" i="1" s="1"/>
  <c r="AH33" i="1" s="1"/>
  <c r="AJ33" i="1" s="1"/>
  <c r="AL33" i="1" s="1"/>
  <c r="AN33" i="1" s="1"/>
  <c r="AB32" i="1"/>
  <c r="AD32" i="1" s="1"/>
  <c r="AF32" i="1" s="1"/>
  <c r="AH32" i="1" s="1"/>
  <c r="AJ32" i="1" s="1"/>
  <c r="AL32" i="1" s="1"/>
  <c r="AN32" i="1" s="1"/>
  <c r="AB36" i="1"/>
  <c r="AD36" i="1" s="1"/>
  <c r="AF36" i="1" s="1"/>
  <c r="AH36" i="1" s="1"/>
  <c r="AJ36" i="1" s="1"/>
  <c r="AL36" i="1" s="1"/>
  <c r="AN36" i="1" s="1"/>
  <c r="AB43" i="1"/>
  <c r="AD43" i="1" s="1"/>
  <c r="AF43" i="1" s="1"/>
  <c r="AH43" i="1" s="1"/>
  <c r="AJ43" i="1" s="1"/>
  <c r="AL43" i="1" s="1"/>
  <c r="AN43" i="1" s="1"/>
  <c r="AB22" i="1"/>
  <c r="AD22" i="1" s="1"/>
  <c r="AF22" i="1" s="1"/>
  <c r="AH22" i="1" s="1"/>
  <c r="AJ22" i="1" s="1"/>
  <c r="AL22" i="1" s="1"/>
  <c r="AN22" i="1" s="1"/>
  <c r="AB31" i="1"/>
  <c r="AD31" i="1" s="1"/>
  <c r="AF31" i="1" s="1"/>
  <c r="AH31" i="1" s="1"/>
  <c r="AJ31" i="1" s="1"/>
  <c r="AL31" i="1" s="1"/>
  <c r="AN31" i="1" s="1"/>
  <c r="AB68" i="1"/>
  <c r="AD68" i="1" s="1"/>
  <c r="AF68" i="1" s="1"/>
  <c r="AH68" i="1" s="1"/>
  <c r="AJ68" i="1" s="1"/>
  <c r="AL68" i="1" s="1"/>
  <c r="AN68" i="1" s="1"/>
  <c r="AD63" i="1"/>
  <c r="AF63" i="1" s="1"/>
  <c r="AH63" i="1" s="1"/>
  <c r="AJ63" i="1" s="1"/>
  <c r="AL63" i="1" s="1"/>
  <c r="AN63" i="1" s="1"/>
  <c r="AB34" i="1"/>
  <c r="AD34" i="1" s="1"/>
  <c r="AF34" i="1" s="1"/>
  <c r="AH34" i="1" s="1"/>
  <c r="AJ34" i="1" s="1"/>
  <c r="AL34" i="1" s="1"/>
  <c r="AN34" i="1" s="1"/>
  <c r="AB26" i="1"/>
  <c r="AD26" i="1" s="1"/>
  <c r="AF26" i="1" s="1"/>
  <c r="AH26" i="1" s="1"/>
  <c r="AJ26" i="1" s="1"/>
  <c r="AL26" i="1" s="1"/>
  <c r="AN26" i="1" s="1"/>
  <c r="AB44" i="1"/>
  <c r="AD44" i="1" s="1"/>
  <c r="AF44" i="1" s="1"/>
  <c r="AH44" i="1" s="1"/>
  <c r="AJ44" i="1" s="1"/>
  <c r="AL44" i="1" s="1"/>
  <c r="AN44" i="1" s="1"/>
  <c r="AB47" i="1"/>
  <c r="AD47" i="1" s="1"/>
  <c r="AF47" i="1" s="1"/>
  <c r="AH47" i="1" s="1"/>
  <c r="AJ47" i="1" s="1"/>
  <c r="AL47" i="1" s="1"/>
  <c r="AN47" i="1" s="1"/>
  <c r="AB57" i="1"/>
  <c r="AD57" i="1" s="1"/>
  <c r="AF57" i="1" s="1"/>
  <c r="AH57" i="1" s="1"/>
  <c r="AJ57" i="1" s="1"/>
  <c r="AL57" i="1" s="1"/>
  <c r="AN57" i="1" s="1"/>
  <c r="AB56" i="1"/>
  <c r="AD56" i="1" s="1"/>
  <c r="AF56" i="1" s="1"/>
  <c r="AH56" i="1" s="1"/>
  <c r="AJ56" i="1" s="1"/>
  <c r="AL56" i="1" s="1"/>
  <c r="AN56" i="1" s="1"/>
  <c r="F34" i="9"/>
  <c r="J34" i="9" s="1"/>
  <c r="K34" i="9" s="1"/>
  <c r="F23" i="9"/>
  <c r="J23" i="9" s="1"/>
  <c r="K23" i="9" s="1"/>
  <c r="AB65" i="1"/>
  <c r="AD65" i="1" s="1"/>
  <c r="AF65" i="1" s="1"/>
  <c r="AH65" i="1" s="1"/>
  <c r="AJ65" i="1" s="1"/>
  <c r="AL65" i="1" s="1"/>
  <c r="AN65" i="1" s="1"/>
  <c r="AB37" i="1"/>
  <c r="AD37" i="1" s="1"/>
  <c r="AF37" i="1" s="1"/>
  <c r="AH37" i="1" s="1"/>
  <c r="AJ37" i="1" s="1"/>
  <c r="AL37" i="1" s="1"/>
  <c r="AN37" i="1" s="1"/>
  <c r="AB19" i="1"/>
  <c r="AD19" i="1" s="1"/>
  <c r="AF19" i="1" s="1"/>
  <c r="AH19" i="1" s="1"/>
  <c r="AJ19" i="1" s="1"/>
  <c r="AL19" i="1" s="1"/>
  <c r="AN19" i="1" s="1"/>
  <c r="F41" i="9"/>
  <c r="J41" i="9" s="1"/>
  <c r="K41" i="9" s="1"/>
  <c r="F48" i="9"/>
  <c r="J48" i="9" s="1"/>
  <c r="K48" i="9" s="1"/>
  <c r="F35" i="9"/>
  <c r="J35" i="9" s="1"/>
  <c r="K35" i="9" s="1"/>
  <c r="AB21" i="1"/>
  <c r="AD21" i="1" s="1"/>
  <c r="AF21" i="1" s="1"/>
  <c r="AH21" i="1" s="1"/>
  <c r="AJ21" i="1" s="1"/>
  <c r="AL21" i="1" s="1"/>
  <c r="AN21" i="1" s="1"/>
  <c r="AB41" i="1"/>
  <c r="AD41" i="1" s="1"/>
  <c r="AF41" i="1" s="1"/>
  <c r="AH41" i="1" s="1"/>
  <c r="AJ41" i="1" s="1"/>
  <c r="AL41" i="1" s="1"/>
  <c r="AN41" i="1" s="1"/>
  <c r="AB62" i="1"/>
  <c r="AD62" i="1" s="1"/>
  <c r="AF62" i="1" s="1"/>
  <c r="AH62" i="1" s="1"/>
  <c r="AJ62" i="1" s="1"/>
  <c r="AL62" i="1" s="1"/>
  <c r="AN62" i="1" s="1"/>
  <c r="AB67" i="1"/>
  <c r="AD67" i="1" s="1"/>
  <c r="AF67" i="1" s="1"/>
  <c r="AH67" i="1" s="1"/>
  <c r="AJ67" i="1" s="1"/>
  <c r="AL67" i="1" s="1"/>
  <c r="AN67" i="1" s="1"/>
  <c r="AB38" i="1"/>
  <c r="AD38" i="1" s="1"/>
  <c r="AF38" i="1" s="1"/>
  <c r="AH38" i="1" s="1"/>
  <c r="AJ38" i="1" s="1"/>
  <c r="AL38" i="1" s="1"/>
  <c r="AN38" i="1" s="1"/>
  <c r="AB20" i="1"/>
  <c r="AD20" i="1" s="1"/>
  <c r="AF20" i="1" s="1"/>
  <c r="AH20" i="1" s="1"/>
  <c r="AJ20" i="1" s="1"/>
  <c r="AL20" i="1" s="1"/>
  <c r="AN20" i="1" s="1"/>
  <c r="AB15" i="1"/>
  <c r="AD15" i="1" s="1"/>
  <c r="AF15" i="1" s="1"/>
  <c r="AH15" i="1" s="1"/>
  <c r="AJ15" i="1" s="1"/>
  <c r="AL15" i="1" s="1"/>
  <c r="AN15" i="1" s="1"/>
  <c r="AB18" i="1"/>
  <c r="AD18" i="1" s="1"/>
  <c r="AF18" i="1" s="1"/>
  <c r="AH18" i="1" s="1"/>
  <c r="AJ18" i="1" s="1"/>
  <c r="AL18" i="1" s="1"/>
  <c r="AN18" i="1" s="1"/>
  <c r="AB60" i="1"/>
  <c r="AB59" i="1"/>
  <c r="AD59" i="1" s="1"/>
  <c r="AF59" i="1" s="1"/>
  <c r="AH59" i="1" s="1"/>
  <c r="AJ59" i="1" s="1"/>
  <c r="AL59" i="1" s="1"/>
  <c r="AN59" i="1" s="1"/>
  <c r="F20" i="9"/>
  <c r="J20" i="9" s="1"/>
  <c r="K20" i="9" s="1"/>
  <c r="F16" i="9"/>
  <c r="J16" i="9" s="1"/>
  <c r="K16" i="9" s="1"/>
  <c r="L44" i="9"/>
  <c r="F54" i="9"/>
  <c r="J54" i="9" s="1"/>
  <c r="K54" i="9" s="1"/>
  <c r="F47" i="9"/>
  <c r="J47" i="9" s="1"/>
  <c r="K47" i="9" s="1"/>
  <c r="F40" i="9"/>
  <c r="J40" i="9" s="1"/>
  <c r="K40" i="9" s="1"/>
  <c r="F27" i="9"/>
  <c r="J27" i="9" s="1"/>
  <c r="K27" i="9" s="1"/>
  <c r="F42" i="9"/>
  <c r="J42" i="9" s="1"/>
  <c r="K42" i="9" s="1"/>
  <c r="L24" i="9"/>
  <c r="F21" i="9"/>
  <c r="J21" i="9" s="1"/>
  <c r="K21" i="9" s="1"/>
  <c r="F13" i="9"/>
  <c r="J13" i="9" s="1"/>
  <c r="K13" i="9" s="1"/>
  <c r="G60" i="9"/>
  <c r="F43" i="9"/>
  <c r="J43" i="9" s="1"/>
  <c r="K43" i="9" s="1"/>
  <c r="C60" i="9"/>
  <c r="E13" i="9"/>
  <c r="F32" i="9"/>
  <c r="J32" i="9" s="1"/>
  <c r="K32" i="9" s="1"/>
  <c r="F19" i="9"/>
  <c r="J19" i="9" s="1"/>
  <c r="K19" i="9" s="1"/>
  <c r="F50" i="9"/>
  <c r="J50" i="9" s="1"/>
  <c r="K50" i="9" s="1"/>
  <c r="F26" i="9"/>
  <c r="J26" i="9" s="1"/>
  <c r="K26" i="9" s="1"/>
  <c r="F49" i="9"/>
  <c r="J49" i="9" s="1"/>
  <c r="K49" i="9" s="1"/>
  <c r="F31" i="9"/>
  <c r="J31" i="9" s="1"/>
  <c r="K31" i="9" s="1"/>
  <c r="F39" i="9"/>
  <c r="J39" i="9" s="1"/>
  <c r="K39" i="9" s="1"/>
  <c r="F25" i="9"/>
  <c r="J25" i="9" s="1"/>
  <c r="K25" i="9" s="1"/>
  <c r="F30" i="9"/>
  <c r="J30" i="9" s="1"/>
  <c r="K30" i="9" s="1"/>
  <c r="F45" i="9"/>
  <c r="J45" i="9" s="1"/>
  <c r="K45" i="9" s="1"/>
  <c r="F46" i="9"/>
  <c r="J46" i="9" s="1"/>
  <c r="K46" i="9" s="1"/>
  <c r="F28" i="9"/>
  <c r="J28" i="9" s="1"/>
  <c r="K28" i="9" s="1"/>
  <c r="F14" i="9"/>
  <c r="J14" i="9" s="1"/>
  <c r="K14" i="9" s="1"/>
  <c r="F36" i="9"/>
  <c r="J36" i="9" s="1"/>
  <c r="K36" i="9" s="1"/>
  <c r="F22" i="9"/>
  <c r="J22" i="9" s="1"/>
  <c r="K22" i="9" s="1"/>
  <c r="F38" i="9"/>
  <c r="J38" i="9" s="1"/>
  <c r="K38" i="9" s="1"/>
  <c r="F33" i="9"/>
  <c r="J33" i="9" s="1"/>
  <c r="K33" i="9" s="1"/>
  <c r="L51" i="9"/>
  <c r="L29" i="9"/>
  <c r="C3" i="6"/>
  <c r="C3" i="10" l="1"/>
  <c r="E3" i="10" s="1"/>
  <c r="G3" i="10" s="1"/>
  <c r="I3" i="10" s="1"/>
  <c r="K3" i="10" s="1"/>
  <c r="M3" i="10" s="1"/>
  <c r="O3" i="10" s="1"/>
  <c r="Q3" i="10" s="1"/>
  <c r="S3" i="10" s="1"/>
  <c r="U3" i="10" s="1"/>
  <c r="W3" i="10" s="1"/>
  <c r="Y3" i="10" s="1"/>
  <c r="AA3" i="10" s="1"/>
  <c r="AC3" i="10" s="1"/>
  <c r="AE3" i="10" s="1"/>
  <c r="AG3" i="10" s="1"/>
  <c r="AI3" i="10" s="1"/>
  <c r="L37" i="9"/>
  <c r="L23" i="9"/>
  <c r="L48" i="9"/>
  <c r="AB35" i="1"/>
  <c r="AD35" i="1" s="1"/>
  <c r="AF35" i="1" s="1"/>
  <c r="AH35" i="1" s="1"/>
  <c r="AJ35" i="1" s="1"/>
  <c r="AL35" i="1" s="1"/>
  <c r="AN35" i="1" s="1"/>
  <c r="L17" i="9"/>
  <c r="L53" i="9"/>
  <c r="L41" i="9"/>
  <c r="L20" i="9"/>
  <c r="AB24" i="1"/>
  <c r="AD24" i="1" s="1"/>
  <c r="AF24" i="1" s="1"/>
  <c r="AH24" i="1" s="1"/>
  <c r="AJ24" i="1" s="1"/>
  <c r="AL24" i="1" s="1"/>
  <c r="AN24" i="1" s="1"/>
  <c r="AB28" i="1"/>
  <c r="AD28" i="1" s="1"/>
  <c r="AF28" i="1" s="1"/>
  <c r="AH28" i="1" s="1"/>
  <c r="AJ28" i="1" s="1"/>
  <c r="AL28" i="1" s="1"/>
  <c r="AN28" i="1" s="1"/>
  <c r="AB40" i="1"/>
  <c r="AD40" i="1" s="1"/>
  <c r="AF40" i="1" s="1"/>
  <c r="AH40" i="1" s="1"/>
  <c r="AJ40" i="1" s="1"/>
  <c r="AL40" i="1" s="1"/>
  <c r="AN40" i="1" s="1"/>
  <c r="AB39" i="1"/>
  <c r="AD39" i="1" s="1"/>
  <c r="AF39" i="1" s="1"/>
  <c r="AH39" i="1" s="1"/>
  <c r="AJ39" i="1" s="1"/>
  <c r="AL39" i="1" s="1"/>
  <c r="AN39" i="1" s="1"/>
  <c r="AB42" i="1"/>
  <c r="AD42" i="1" s="1"/>
  <c r="AF42" i="1" s="1"/>
  <c r="AH42" i="1" s="1"/>
  <c r="AJ42" i="1" s="1"/>
  <c r="AL42" i="1" s="1"/>
  <c r="AN42" i="1" s="1"/>
  <c r="L35" i="9"/>
  <c r="L34" i="9"/>
  <c r="AD60" i="1"/>
  <c r="AF60" i="1" s="1"/>
  <c r="AH60" i="1" s="1"/>
  <c r="AJ60" i="1" s="1"/>
  <c r="AL60" i="1" s="1"/>
  <c r="AN60" i="1" s="1"/>
  <c r="L33" i="9"/>
  <c r="L50" i="9"/>
  <c r="L38" i="9"/>
  <c r="L54" i="9"/>
  <c r="L30" i="9"/>
  <c r="L47" i="9"/>
  <c r="L13" i="9"/>
  <c r="E60" i="9"/>
  <c r="E61" i="9" s="1"/>
  <c r="E65" i="9" s="1"/>
  <c r="L46" i="9"/>
  <c r="L31" i="9"/>
  <c r="L21" i="9"/>
  <c r="L19" i="9"/>
  <c r="L27" i="9"/>
  <c r="L39" i="9"/>
  <c r="L16" i="9"/>
  <c r="L42" i="9"/>
  <c r="F60" i="9"/>
  <c r="G58" i="9"/>
  <c r="L45" i="9"/>
  <c r="L36" i="9"/>
  <c r="L22" i="9"/>
  <c r="C58" i="9"/>
  <c r="H60" i="9"/>
  <c r="K60" i="9"/>
  <c r="J60" i="9" s="1"/>
  <c r="L28" i="9"/>
  <c r="L14" i="9"/>
  <c r="L32" i="9"/>
  <c r="L25" i="9"/>
  <c r="L26" i="9"/>
  <c r="L40" i="9"/>
  <c r="L49" i="9"/>
  <c r="L43" i="9"/>
  <c r="A76" i="1"/>
  <c r="AK3" i="10" l="1"/>
  <c r="AK4" i="10" s="1"/>
  <c r="AI4" i="10"/>
  <c r="E63" i="9"/>
  <c r="L60" i="9"/>
  <c r="D1" i="6"/>
  <c r="E1" i="6" s="1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C1" i="10" l="1"/>
  <c r="C6" i="6" l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E1" i="10"/>
  <c r="G1" i="10" l="1"/>
  <c r="I1" i="10" l="1"/>
  <c r="K1" i="10" l="1"/>
  <c r="M1" i="10" l="1"/>
  <c r="O1" i="10" l="1"/>
  <c r="V1" i="1" l="1"/>
  <c r="Q1" i="10"/>
  <c r="Y9" i="1" l="1"/>
  <c r="AA9" i="1" l="1"/>
  <c r="U1" i="10" s="1"/>
  <c r="S1" i="10"/>
  <c r="Z1" i="1"/>
  <c r="Y10" i="1"/>
  <c r="AC9" i="1" l="1"/>
  <c r="W1" i="10" s="1"/>
  <c r="AA10" i="1"/>
  <c r="AB76" i="1" s="1"/>
  <c r="AB1" i="1"/>
  <c r="Z76" i="1"/>
  <c r="AE9" i="1" l="1"/>
  <c r="Y1" i="10" s="1"/>
  <c r="AD1" i="1"/>
  <c r="AC10" i="1"/>
  <c r="D4" i="1"/>
  <c r="AD76" i="1" l="1"/>
  <c r="AG9" i="1"/>
  <c r="AA1" i="10" s="1"/>
  <c r="AF1" i="1"/>
  <c r="AE10" i="1"/>
  <c r="AF76" i="1" s="1"/>
  <c r="D50" i="1"/>
  <c r="D73" i="1"/>
  <c r="AB73" i="1" s="1"/>
  <c r="AD73" i="1" s="1"/>
  <c r="AF73" i="1" s="1"/>
  <c r="AH73" i="1" s="1"/>
  <c r="AJ73" i="1" s="1"/>
  <c r="AL73" i="1" s="1"/>
  <c r="AN73" i="1" s="1"/>
  <c r="D49" i="1"/>
  <c r="D72" i="1"/>
  <c r="D48" i="1"/>
  <c r="AB48" i="1" s="1"/>
  <c r="AD48" i="1" s="1"/>
  <c r="AF48" i="1" s="1"/>
  <c r="AH48" i="1" s="1"/>
  <c r="AJ48" i="1" s="1"/>
  <c r="AL48" i="1" s="1"/>
  <c r="AN48" i="1" s="1"/>
  <c r="D13" i="1"/>
  <c r="V8" i="1"/>
  <c r="U8" i="1" s="1"/>
  <c r="Z8" i="1"/>
  <c r="Y8" i="1" s="1"/>
  <c r="AG10" i="1" l="1"/>
  <c r="AH1" i="1"/>
  <c r="AI9" i="1"/>
  <c r="AC1" i="10" s="1"/>
  <c r="AB50" i="1"/>
  <c r="AD50" i="1" s="1"/>
  <c r="AF50" i="1" s="1"/>
  <c r="AH50" i="1" s="1"/>
  <c r="AJ50" i="1" s="1"/>
  <c r="AL50" i="1" s="1"/>
  <c r="AN50" i="1" s="1"/>
  <c r="AB49" i="1"/>
  <c r="AD49" i="1" s="1"/>
  <c r="AF49" i="1" s="1"/>
  <c r="AH49" i="1" s="1"/>
  <c r="AJ49" i="1" s="1"/>
  <c r="AL49" i="1" s="1"/>
  <c r="AN49" i="1" s="1"/>
  <c r="D78" i="1"/>
  <c r="V101" i="1"/>
  <c r="Z101" i="1"/>
  <c r="C102" i="1"/>
  <c r="AH76" i="1" l="1"/>
  <c r="AJ1" i="1"/>
  <c r="AK9" i="1"/>
  <c r="AE1" i="10" s="1"/>
  <c r="AI10" i="1"/>
  <c r="AJ76" i="1" s="1"/>
  <c r="C2" i="10"/>
  <c r="C4" i="10" s="1"/>
  <c r="D102" i="1"/>
  <c r="AD102" i="1"/>
  <c r="AD103" i="1" s="1"/>
  <c r="AL102" i="1"/>
  <c r="AL103" i="1" s="1"/>
  <c r="AF102" i="1"/>
  <c r="AF103" i="1" s="1"/>
  <c r="AH102" i="1"/>
  <c r="AH103" i="1" s="1"/>
  <c r="AJ102" i="1"/>
  <c r="AJ103" i="1" s="1"/>
  <c r="AN102" i="1"/>
  <c r="AN103" i="1" s="1"/>
  <c r="AB102" i="1"/>
  <c r="AB103" i="1" s="1"/>
  <c r="V102" i="1"/>
  <c r="V103" i="1" s="1"/>
  <c r="Z102" i="1"/>
  <c r="Z103" i="1" s="1"/>
  <c r="AM9" i="1" l="1"/>
  <c r="AG1" i="10" s="1"/>
  <c r="AK10" i="1"/>
  <c r="AL1" i="1"/>
  <c r="AN106" i="1"/>
  <c r="E2" i="10"/>
  <c r="E4" i="10" s="1"/>
  <c r="AF106" i="1"/>
  <c r="AH106" i="1"/>
  <c r="AJ106" i="1"/>
  <c r="AL106" i="1"/>
  <c r="AD106" i="1"/>
  <c r="AB106" i="1"/>
  <c r="C99" i="1"/>
  <c r="D99" i="1"/>
  <c r="Z106" i="1"/>
  <c r="V106" i="1"/>
  <c r="AL76" i="1" l="1"/>
  <c r="Z5" i="1"/>
  <c r="AB5" i="1" s="1"/>
  <c r="AD5" i="1" s="1"/>
  <c r="AF5" i="1" s="1"/>
  <c r="AH5" i="1" s="1"/>
  <c r="AJ5" i="1" s="1"/>
  <c r="AL5" i="1" s="1"/>
  <c r="AN5" i="1" s="1"/>
  <c r="AM10" i="1"/>
  <c r="AN76" i="1" s="1"/>
  <c r="AN1" i="1"/>
  <c r="G2" i="10"/>
  <c r="G4" i="10" s="1"/>
  <c r="E3" i="6"/>
  <c r="F3" i="6"/>
  <c r="G3" i="6" l="1"/>
  <c r="I2" i="10"/>
  <c r="I4" i="10" s="1"/>
  <c r="H3" i="6" l="1"/>
  <c r="K2" i="10"/>
  <c r="K4" i="10" s="1"/>
  <c r="D3" i="6"/>
  <c r="I3" i="6" l="1"/>
  <c r="M2" i="10"/>
  <c r="M4" i="10" s="1"/>
  <c r="J3" i="6" l="1"/>
  <c r="O2" i="10"/>
  <c r="O4" i="10" s="1"/>
  <c r="V78" i="1" l="1"/>
  <c r="K3" i="6"/>
  <c r="Q2" i="10"/>
  <c r="Q4" i="10" s="1"/>
  <c r="V99" i="1" l="1"/>
  <c r="V109" i="1" s="1"/>
  <c r="V108" i="1" s="1"/>
  <c r="V76" i="1"/>
  <c r="L3" i="6"/>
  <c r="V79" i="1"/>
  <c r="U78" i="1"/>
  <c r="AB13" i="1"/>
  <c r="S2" i="10"/>
  <c r="S4" i="10" s="1"/>
  <c r="V94" i="1" l="1"/>
  <c r="D94" i="1" s="1"/>
  <c r="V93" i="1"/>
  <c r="D93" i="1" s="1"/>
  <c r="V95" i="1"/>
  <c r="V100" i="1"/>
  <c r="U103" i="1" s="1"/>
  <c r="V81" i="1"/>
  <c r="U81" i="1" s="1"/>
  <c r="D91" i="1"/>
  <c r="Z78" i="1"/>
  <c r="Y78" i="1" s="1"/>
  <c r="M3" i="6"/>
  <c r="AD13" i="1"/>
  <c r="U2" i="10"/>
  <c r="U4" i="10" s="1"/>
  <c r="AA70" i="1" s="1"/>
  <c r="V105" i="1" l="1"/>
  <c r="U108" i="1" s="1"/>
  <c r="V110" i="1" s="1"/>
  <c r="U110" i="1" s="1"/>
  <c r="AB70" i="1"/>
  <c r="AB78" i="1" s="1"/>
  <c r="N3" i="6"/>
  <c r="W2" i="10"/>
  <c r="W4" i="10" s="1"/>
  <c r="AC70" i="1" s="1"/>
  <c r="AF13" i="1"/>
  <c r="Z79" i="1"/>
  <c r="Z99" i="1"/>
  <c r="Z100" i="1" s="1"/>
  <c r="O3" i="6"/>
  <c r="U106" i="1" l="1"/>
  <c r="Z81" i="1"/>
  <c r="Y81" i="1" s="1"/>
  <c r="Z95" i="1"/>
  <c r="D95" i="1" s="1"/>
  <c r="D96" i="1" s="1"/>
  <c r="AD70" i="1"/>
  <c r="AD78" i="1" s="1"/>
  <c r="Z109" i="1"/>
  <c r="Z108" i="1" s="1"/>
  <c r="Y2" i="10"/>
  <c r="Y4" i="10" s="1"/>
  <c r="AE70" i="1" s="1"/>
  <c r="AH13" i="1"/>
  <c r="AA78" i="1"/>
  <c r="AB99" i="1"/>
  <c r="AB79" i="1"/>
  <c r="AB81" i="1" s="1"/>
  <c r="AA81" i="1" s="1"/>
  <c r="Y103" i="1"/>
  <c r="Z105" i="1"/>
  <c r="P3" i="6"/>
  <c r="AF70" i="1" l="1"/>
  <c r="AF78" i="1" s="1"/>
  <c r="Y108" i="1"/>
  <c r="Z110" i="1" s="1"/>
  <c r="Y110" i="1" s="1"/>
  <c r="AA2" i="10"/>
  <c r="AA4" i="10" s="1"/>
  <c r="AG70" i="1" s="1"/>
  <c r="AJ13" i="1"/>
  <c r="AB100" i="1"/>
  <c r="AB109" i="1"/>
  <c r="AB108" i="1" s="1"/>
  <c r="AC78" i="1"/>
  <c r="AD79" i="1"/>
  <c r="AD81" i="1" s="1"/>
  <c r="AC81" i="1" s="1"/>
  <c r="AD99" i="1"/>
  <c r="AD109" i="1" s="1"/>
  <c r="AD108" i="1" s="1"/>
  <c r="Y106" i="1"/>
  <c r="Q3" i="6"/>
  <c r="AH70" i="1" l="1"/>
  <c r="AJ70" i="1" s="1"/>
  <c r="AL70" i="1" s="1"/>
  <c r="AN70" i="1" s="1"/>
  <c r="AD100" i="1"/>
  <c r="AC103" i="1" s="1"/>
  <c r="AA103" i="1"/>
  <c r="AB105" i="1"/>
  <c r="AF99" i="1"/>
  <c r="AF109" i="1" s="1"/>
  <c r="AF108" i="1" s="1"/>
  <c r="AF79" i="1"/>
  <c r="AF81" i="1" s="1"/>
  <c r="AE81" i="1" s="1"/>
  <c r="AE78" i="1"/>
  <c r="AC2" i="10"/>
  <c r="AC4" i="10" s="1"/>
  <c r="AL13" i="1"/>
  <c r="R3" i="6"/>
  <c r="AH78" i="1" l="1"/>
  <c r="AG78" i="1" s="1"/>
  <c r="AD105" i="1"/>
  <c r="AC106" i="1" s="1"/>
  <c r="AJ78" i="1"/>
  <c r="AE2" i="10"/>
  <c r="AE4" i="10" s="1"/>
  <c r="AN13" i="1"/>
  <c r="AL78" i="1"/>
  <c r="AF100" i="1"/>
  <c r="AA106" i="1"/>
  <c r="AA108" i="1"/>
  <c r="AB110" i="1" s="1"/>
  <c r="AA110" i="1" s="1"/>
  <c r="S3" i="6"/>
  <c r="AH79" i="1" l="1"/>
  <c r="AH81" i="1" s="1"/>
  <c r="AG81" i="1" s="1"/>
  <c r="AH99" i="1"/>
  <c r="AH109" i="1" s="1"/>
  <c r="AH108" i="1" s="1"/>
  <c r="AJ79" i="1"/>
  <c r="AJ81" i="1" s="1"/>
  <c r="AI81" i="1" s="1"/>
  <c r="AC108" i="1"/>
  <c r="AD110" i="1" s="1"/>
  <c r="AC110" i="1" s="1"/>
  <c r="AI78" i="1"/>
  <c r="AJ99" i="1"/>
  <c r="AJ100" i="1" s="1"/>
  <c r="AL79" i="1"/>
  <c r="AL81" i="1" s="1"/>
  <c r="AK81" i="1" s="1"/>
  <c r="AK78" i="1"/>
  <c r="AL99" i="1"/>
  <c r="AF105" i="1"/>
  <c r="AE103" i="1"/>
  <c r="AG2" i="10"/>
  <c r="AG4" i="10" s="1"/>
  <c r="AN78" i="1"/>
  <c r="T3" i="6"/>
  <c r="AH100" i="1" l="1"/>
  <c r="AG103" i="1" s="1"/>
  <c r="AL109" i="1"/>
  <c r="AL108" i="1" s="1"/>
  <c r="AI103" i="1"/>
  <c r="AJ109" i="1"/>
  <c r="AJ108" i="1" s="1"/>
  <c r="AE106" i="1"/>
  <c r="AE108" i="1"/>
  <c r="AF110" i="1" s="1"/>
  <c r="AE110" i="1" s="1"/>
  <c r="AN79" i="1"/>
  <c r="AN81" i="1" s="1"/>
  <c r="AM81" i="1" s="1"/>
  <c r="AM78" i="1"/>
  <c r="AN99" i="1"/>
  <c r="AN109" i="1" s="1"/>
  <c r="AN108" i="1" s="1"/>
  <c r="AL100" i="1"/>
  <c r="U3" i="6"/>
  <c r="AJ105" i="1" l="1"/>
  <c r="AI106" i="1" s="1"/>
  <c r="AH105" i="1"/>
  <c r="AG106" i="1" s="1"/>
  <c r="AN100" i="1"/>
  <c r="AM103" i="1" s="1"/>
  <c r="AK103" i="1"/>
  <c r="AL105" i="1"/>
  <c r="V3" i="6"/>
  <c r="AG108" i="1" l="1"/>
  <c r="AH110" i="1" s="1"/>
  <c r="AG110" i="1" s="1"/>
  <c r="AI108" i="1"/>
  <c r="AJ110" i="1" s="1"/>
  <c r="AI110" i="1" s="1"/>
  <c r="AN105" i="1"/>
  <c r="AM106" i="1" s="1"/>
  <c r="AK106" i="1"/>
  <c r="AK108" i="1"/>
  <c r="AL110" i="1" s="1"/>
  <c r="AK110" i="1" s="1"/>
  <c r="W3" i="6"/>
  <c r="AM108" i="1" l="1"/>
  <c r="AN110" i="1" s="1"/>
  <c r="AM110" i="1" s="1"/>
  <c r="X3" i="6"/>
  <c r="Y3" i="6" l="1"/>
  <c r="AA3" i="6" l="1"/>
  <c r="Z3" i="6"/>
  <c r="C109" i="1" l="1"/>
</calcChain>
</file>

<file path=xl/sharedStrings.xml><?xml version="1.0" encoding="utf-8"?>
<sst xmlns="http://schemas.openxmlformats.org/spreadsheetml/2006/main" count="1952" uniqueCount="582">
  <si>
    <t>Item</t>
  </si>
  <si>
    <t>Trade</t>
  </si>
  <si>
    <t>Amount</t>
  </si>
  <si>
    <t xml:space="preserve">Difference </t>
  </si>
  <si>
    <t>Reporting Date</t>
  </si>
  <si>
    <t>Total duration</t>
  </si>
  <si>
    <t xml:space="preserve">Notes / Comments
</t>
  </si>
  <si>
    <t>Revenue</t>
  </si>
  <si>
    <t>Costs</t>
  </si>
  <si>
    <t>Retention Type</t>
  </si>
  <si>
    <t>Job Number</t>
  </si>
  <si>
    <t>Job Description</t>
  </si>
  <si>
    <t>Job Cost Code</t>
  </si>
  <si>
    <t>Job Cost Type Code</t>
  </si>
  <si>
    <t>Job Forecast Completion Date</t>
  </si>
  <si>
    <t>Job Code Description</t>
  </si>
  <si>
    <t>Check Line</t>
  </si>
  <si>
    <t>Current</t>
  </si>
  <si>
    <t>Totals (Prev Month)</t>
  </si>
  <si>
    <t>Cashflow Claim</t>
  </si>
  <si>
    <t>FF Revenue</t>
  </si>
  <si>
    <t>FF Cost</t>
  </si>
  <si>
    <t>ACCOUNTS USE ONLY</t>
  </si>
  <si>
    <t>TOTAL PRELIMS</t>
  </si>
  <si>
    <t>TRADES</t>
  </si>
  <si>
    <t>Total Incurred</t>
  </si>
  <si>
    <t>Total Actual</t>
  </si>
  <si>
    <t>Total Prev Act</t>
  </si>
  <si>
    <t>Exp Amt</t>
  </si>
  <si>
    <t>Total Forecast</t>
  </si>
  <si>
    <t>PENDING INVOICES</t>
  </si>
  <si>
    <t>Total Expense Amt</t>
  </si>
  <si>
    <t>Cashflow Code</t>
  </si>
  <si>
    <t>McNab Labour</t>
  </si>
  <si>
    <t>Total Contract</t>
  </si>
  <si>
    <t>Claimed To Date</t>
  </si>
  <si>
    <t>Prev Claim</t>
  </si>
  <si>
    <t>SUNDRY INCOME</t>
  </si>
  <si>
    <t>VARIATIONS</t>
  </si>
  <si>
    <t>CM DATA</t>
  </si>
  <si>
    <t>Reporting Cashflow</t>
  </si>
  <si>
    <t>Ret Held</t>
  </si>
  <si>
    <t>Monthly Revenue</t>
  </si>
  <si>
    <t>Monthly Costs (Exc Labour)</t>
  </si>
  <si>
    <t>Cummulative Total Revenue</t>
  </si>
  <si>
    <t>Cummulative Retention Held</t>
  </si>
  <si>
    <t>Subbie Retention Held</t>
  </si>
  <si>
    <t>Cummulative Costs (Exc Labour)</t>
  </si>
  <si>
    <t>Cummulative Revenue</t>
  </si>
  <si>
    <t>% Complete Labour</t>
  </si>
  <si>
    <t>Commence Date</t>
  </si>
  <si>
    <t>Contract Completion Date</t>
  </si>
  <si>
    <t xml:space="preserve">PROVISIONAL SUMS              </t>
  </si>
  <si>
    <t>DESIGN</t>
  </si>
  <si>
    <t>FF Margin</t>
  </si>
  <si>
    <t>Actual</t>
  </si>
  <si>
    <t>Over/Under Claim</t>
  </si>
  <si>
    <t>Based on Trades</t>
  </si>
  <si>
    <t>Margin to Date</t>
  </si>
  <si>
    <t>Accrual</t>
  </si>
  <si>
    <t>R&amp;O Margin</t>
  </si>
  <si>
    <t>Variance for R&amp;O Margin</t>
  </si>
  <si>
    <t>Cummulative Totals</t>
  </si>
  <si>
    <t>Preliminaries</t>
  </si>
  <si>
    <t>DEMOLITION</t>
  </si>
  <si>
    <t>BULK EARTHWORKS &amp; RETENTION</t>
  </si>
  <si>
    <t>ROADWORKS &amp; CIVIL</t>
  </si>
  <si>
    <t>PILING AND PIERING</t>
  </si>
  <si>
    <t>CONCRETE WORK</t>
  </si>
  <si>
    <t>RE-INFORCEMENT</t>
  </si>
  <si>
    <t>FORMWORK</t>
  </si>
  <si>
    <t>PRE-CAST &amp; TILT PANELS</t>
  </si>
  <si>
    <t>MASONRY</t>
  </si>
  <si>
    <t>STRUCTUAL STEEL</t>
  </si>
  <si>
    <t>METAL WORKS</t>
  </si>
  <si>
    <t>ROOFING, RF PLUMBING, WALL CLA</t>
  </si>
  <si>
    <t>RENDERING &amp; WATERPROOFING</t>
  </si>
  <si>
    <t>CARPENTRY</t>
  </si>
  <si>
    <t>DOORS &amp; FRAMES, HARDWARE</t>
  </si>
  <si>
    <t>CEILINGS &amp; PARTITIONS</t>
  </si>
  <si>
    <t>JOINERY</t>
  </si>
  <si>
    <t>STAINLESS STEEL</t>
  </si>
  <si>
    <t>FLOOR COVERINGS</t>
  </si>
  <si>
    <t>PAINTING</t>
  </si>
  <si>
    <t>HYDRAULIC, PLUMBING,DRAINAGE</t>
  </si>
  <si>
    <t>ELECTRICAL SERVICES</t>
  </si>
  <si>
    <t>MECHANICAL SERVICES</t>
  </si>
  <si>
    <t>VERTICAL &amp; HORIZONTAL TRANSPOR</t>
  </si>
  <si>
    <t>FIRE SERVICES</t>
  </si>
  <si>
    <t>LANDSCAPING and IRRIGATION</t>
  </si>
  <si>
    <t>FENCING</t>
  </si>
  <si>
    <t>SIGNAGE</t>
  </si>
  <si>
    <t>Design</t>
  </si>
  <si>
    <t>Trades</t>
  </si>
  <si>
    <t>TILING</t>
  </si>
  <si>
    <t>ALUMINIUM DOORS AND WINDOWS</t>
  </si>
  <si>
    <t>Job Contract Commencement Date</t>
  </si>
  <si>
    <t>Job Current Contract Completion Date</t>
  </si>
  <si>
    <t>Bank Guarantee Amount</t>
  </si>
  <si>
    <t>22066</t>
  </si>
  <si>
    <t>ROCKPOOL PELICAN WATERS</t>
  </si>
  <si>
    <t>Firm Code</t>
  </si>
  <si>
    <t>Trade Code</t>
  </si>
  <si>
    <t>Item Number</t>
  </si>
  <si>
    <t>Description</t>
  </si>
  <si>
    <t>Claimable Amount</t>
  </si>
  <si>
    <t>Current Claimed Amount</t>
  </si>
  <si>
    <t>Previous Claimed Amount</t>
  </si>
  <si>
    <t>Cost Code</t>
  </si>
  <si>
    <t>Cost Type</t>
  </si>
  <si>
    <t>Actual Cost Amount</t>
  </si>
  <si>
    <t>Incurred Cost Amount</t>
  </si>
  <si>
    <t>Prev Act</t>
  </si>
  <si>
    <t>Forecast Final Cost Amount</t>
  </si>
  <si>
    <t>30</t>
  </si>
  <si>
    <t xml:space="preserve">01  </t>
  </si>
  <si>
    <t xml:space="preserve">01          </t>
  </si>
  <si>
    <t xml:space="preserve">DESIGN FEES                   </t>
  </si>
  <si>
    <t xml:space="preserve"> </t>
  </si>
  <si>
    <t xml:space="preserve">02  </t>
  </si>
  <si>
    <t xml:space="preserve">Development Management Fee    </t>
  </si>
  <si>
    <t xml:space="preserve">02          </t>
  </si>
  <si>
    <t xml:space="preserve">Preliminaries                 </t>
  </si>
  <si>
    <t xml:space="preserve">03  </t>
  </si>
  <si>
    <t xml:space="preserve">Bulk Earthworks               </t>
  </si>
  <si>
    <t xml:space="preserve">Piling                        </t>
  </si>
  <si>
    <t xml:space="preserve">03          </t>
  </si>
  <si>
    <t xml:space="preserve">Termite Treatment             </t>
  </si>
  <si>
    <t xml:space="preserve">04          </t>
  </si>
  <si>
    <t xml:space="preserve">Detailed Excavation           </t>
  </si>
  <si>
    <t xml:space="preserve">05          </t>
  </si>
  <si>
    <t xml:space="preserve">Concrete Supply               </t>
  </si>
  <si>
    <t>P</t>
  </si>
  <si>
    <t xml:space="preserve">06          </t>
  </si>
  <si>
    <t xml:space="preserve">Concrete Labour               </t>
  </si>
  <si>
    <t xml:space="preserve">07          </t>
  </si>
  <si>
    <t xml:space="preserve">Concrete Pumping              </t>
  </si>
  <si>
    <t xml:space="preserve">08          </t>
  </si>
  <si>
    <t xml:space="preserve">Concrete Testing and Sundries </t>
  </si>
  <si>
    <t>D1A</t>
  </si>
  <si>
    <t>CT</t>
  </si>
  <si>
    <t xml:space="preserve">Access Consultant             </t>
  </si>
  <si>
    <t xml:space="preserve">09          </t>
  </si>
  <si>
    <t xml:space="preserve">Reinforcement Supply          </t>
  </si>
  <si>
    <t>D1AE</t>
  </si>
  <si>
    <t xml:space="preserve">Acoustic Engineer             </t>
  </si>
  <si>
    <t xml:space="preserve">10          </t>
  </si>
  <si>
    <t xml:space="preserve">Reinforcement Placing         </t>
  </si>
  <si>
    <t>D1BC</t>
  </si>
  <si>
    <t xml:space="preserve">Building Certifier            </t>
  </si>
  <si>
    <t xml:space="preserve">11          </t>
  </si>
  <si>
    <t xml:space="preserve">Formwork                      </t>
  </si>
  <si>
    <t>D1CE</t>
  </si>
  <si>
    <t xml:space="preserve">Civil Engineer                </t>
  </si>
  <si>
    <t xml:space="preserve">12          </t>
  </si>
  <si>
    <t xml:space="preserve">Masonry - Blockwork           </t>
  </si>
  <si>
    <t>D1EE</t>
  </si>
  <si>
    <t xml:space="preserve">13          </t>
  </si>
  <si>
    <t xml:space="preserve">Waterproofing &amp; Tanking       </t>
  </si>
  <si>
    <t>D1F</t>
  </si>
  <si>
    <t xml:space="preserve">Facade (Compliance Peer Revie </t>
  </si>
  <si>
    <t xml:space="preserve">14          </t>
  </si>
  <si>
    <t xml:space="preserve">Structural Steel              </t>
  </si>
  <si>
    <t>D1FE</t>
  </si>
  <si>
    <t xml:space="preserve">Fire Engineer                 </t>
  </si>
  <si>
    <t xml:space="preserve">15          </t>
  </si>
  <si>
    <t xml:space="preserve">Roofing                       </t>
  </si>
  <si>
    <t>D1FS</t>
  </si>
  <si>
    <t xml:space="preserve">Fire Services                 </t>
  </si>
  <si>
    <t xml:space="preserve">16          </t>
  </si>
  <si>
    <t xml:space="preserve">Roof Access &amp; Safety          </t>
  </si>
  <si>
    <t>D1HE</t>
  </si>
  <si>
    <t xml:space="preserve">Hydraulic Engineer            </t>
  </si>
  <si>
    <t xml:space="preserve">17          </t>
  </si>
  <si>
    <t xml:space="preserve">Aluminium Windows and Doors   </t>
  </si>
  <si>
    <t>D1HV</t>
  </si>
  <si>
    <t xml:space="preserve">HV Electrical Engineer        </t>
  </si>
  <si>
    <t xml:space="preserve">18          </t>
  </si>
  <si>
    <t xml:space="preserve">Metalwork                     </t>
  </si>
  <si>
    <t>D1KS</t>
  </si>
  <si>
    <t>Kitchen and Laundry Specialist</t>
  </si>
  <si>
    <t xml:space="preserve">19          </t>
  </si>
  <si>
    <t xml:space="preserve">Rubbish/ Laundry Chute System </t>
  </si>
  <si>
    <t>D1LD</t>
  </si>
  <si>
    <t xml:space="preserve">Landscaping                   </t>
  </si>
  <si>
    <t xml:space="preserve">20          </t>
  </si>
  <si>
    <t xml:space="preserve">Roller Doors                  </t>
  </si>
  <si>
    <t>D1ME</t>
  </si>
  <si>
    <t xml:space="preserve">Mechanical Engineer           </t>
  </si>
  <si>
    <t xml:space="preserve">21          </t>
  </si>
  <si>
    <t xml:space="preserve">Carpentry                     </t>
  </si>
  <si>
    <t>D1NC</t>
  </si>
  <si>
    <t xml:space="preserve">22          </t>
  </si>
  <si>
    <t xml:space="preserve">Trusses                       </t>
  </si>
  <si>
    <t>D1SE</t>
  </si>
  <si>
    <t xml:space="preserve">Structural Engineer           </t>
  </si>
  <si>
    <t xml:space="preserve">23          </t>
  </si>
  <si>
    <t xml:space="preserve">Timber Doors and Frames       </t>
  </si>
  <si>
    <t>D1SL</t>
  </si>
  <si>
    <t xml:space="preserve">24          </t>
  </si>
  <si>
    <t xml:space="preserve">Door and Sundry Hardware      </t>
  </si>
  <si>
    <t>D1SP</t>
  </si>
  <si>
    <t xml:space="preserve">Structural Peer Review        </t>
  </si>
  <si>
    <t xml:space="preserve">25          </t>
  </si>
  <si>
    <t xml:space="preserve">Ceilings and Partitions       </t>
  </si>
  <si>
    <t>D1SU</t>
  </si>
  <si>
    <t xml:space="preserve">Survey                        </t>
  </si>
  <si>
    <t xml:space="preserve">26          </t>
  </si>
  <si>
    <t xml:space="preserve">Toilet Partitions             </t>
  </si>
  <si>
    <t>D1TM</t>
  </si>
  <si>
    <t xml:space="preserve">Traffic Engineer              </t>
  </si>
  <si>
    <t xml:space="preserve">27          </t>
  </si>
  <si>
    <t xml:space="preserve">Tiling Supply                 </t>
  </si>
  <si>
    <t>D1WF</t>
  </si>
  <si>
    <t xml:space="preserve">Web FM                        </t>
  </si>
  <si>
    <t xml:space="preserve">28          </t>
  </si>
  <si>
    <t xml:space="preserve">Tiling Install                </t>
  </si>
  <si>
    <t>D1WM</t>
  </si>
  <si>
    <t xml:space="preserve">Waste Management Consultant   </t>
  </si>
  <si>
    <t xml:space="preserve">29          </t>
  </si>
  <si>
    <t xml:space="preserve">Cladding                      </t>
  </si>
  <si>
    <t>D2</t>
  </si>
  <si>
    <t>ST</t>
  </si>
  <si>
    <t xml:space="preserve">30          </t>
  </si>
  <si>
    <t xml:space="preserve">Floor Coverings               </t>
  </si>
  <si>
    <t>P01BG</t>
  </si>
  <si>
    <t>PF</t>
  </si>
  <si>
    <t xml:space="preserve">Bank Gaurantee Fees           </t>
  </si>
  <si>
    <t xml:space="preserve">31          </t>
  </si>
  <si>
    <t xml:space="preserve">Stainless Steel               </t>
  </si>
  <si>
    <t>P01CW</t>
  </si>
  <si>
    <t xml:space="preserve">Contract Works Insurance      </t>
  </si>
  <si>
    <t xml:space="preserve">32          </t>
  </si>
  <si>
    <t xml:space="preserve">Hydraulic Services            </t>
  </si>
  <si>
    <t xml:space="preserve">General Consultancy           </t>
  </si>
  <si>
    <t xml:space="preserve">33          </t>
  </si>
  <si>
    <t xml:space="preserve">Electrical Services           </t>
  </si>
  <si>
    <t xml:space="preserve">34          </t>
  </si>
  <si>
    <t xml:space="preserve">Mechanical Services           </t>
  </si>
  <si>
    <t xml:space="preserve">35          </t>
  </si>
  <si>
    <t xml:space="preserve">36          </t>
  </si>
  <si>
    <t xml:space="preserve">Lift Services                 </t>
  </si>
  <si>
    <t xml:space="preserve">37          </t>
  </si>
  <si>
    <t>P03BS</t>
  </si>
  <si>
    <t>BSA - Insurance Contract Cover</t>
  </si>
  <si>
    <t xml:space="preserve">38          </t>
  </si>
  <si>
    <t xml:space="preserve">Painting                      </t>
  </si>
  <si>
    <t>P03CF</t>
  </si>
  <si>
    <t xml:space="preserve">Council Fees                  </t>
  </si>
  <si>
    <t xml:space="preserve">39          </t>
  </si>
  <si>
    <t xml:space="preserve">Render                        </t>
  </si>
  <si>
    <t>P03FE</t>
  </si>
  <si>
    <t>OT</t>
  </si>
  <si>
    <t xml:space="preserve">Fire Extinguishers            </t>
  </si>
  <si>
    <t xml:space="preserve">40          </t>
  </si>
  <si>
    <t xml:space="preserve">Signage                       </t>
  </si>
  <si>
    <t>P03LF</t>
  </si>
  <si>
    <t xml:space="preserve">Legal Fees                    </t>
  </si>
  <si>
    <t xml:space="preserve">41          </t>
  </si>
  <si>
    <t xml:space="preserve">Trade Contingency             </t>
  </si>
  <si>
    <t>P03LS</t>
  </si>
  <si>
    <t xml:space="preserve">Portable Long Service Leave   </t>
  </si>
  <si>
    <t xml:space="preserve">04  </t>
  </si>
  <si>
    <t xml:space="preserve">Joinery &amp; Benchtops           </t>
  </si>
  <si>
    <t>P03TE</t>
  </si>
  <si>
    <t xml:space="preserve">Temporary Electricity         </t>
  </si>
  <si>
    <t xml:space="preserve">Sanitary Hardware/ Hydraulic  </t>
  </si>
  <si>
    <t>P03WH</t>
  </si>
  <si>
    <t>Workplace Health &amp; Saftey Fees</t>
  </si>
  <si>
    <t xml:space="preserve">05  </t>
  </si>
  <si>
    <t xml:space="preserve">Corporate Signage             </t>
  </si>
  <si>
    <t>P04DI</t>
  </si>
  <si>
    <t xml:space="preserve">Dilap Report Subcontract      </t>
  </si>
  <si>
    <t xml:space="preserve">Wayfinding Signage            </t>
  </si>
  <si>
    <t>P04HS</t>
  </si>
  <si>
    <t>MT</t>
  </si>
  <si>
    <t xml:space="preserve">Temporary Harstanding         </t>
  </si>
  <si>
    <t xml:space="preserve">Corner and Door Protection    </t>
  </si>
  <si>
    <t>P04TF</t>
  </si>
  <si>
    <t>XP</t>
  </si>
  <si>
    <t xml:space="preserve">Temporary Fencing             </t>
  </si>
  <si>
    <t xml:space="preserve">Reception, Hairsalon and      </t>
  </si>
  <si>
    <t>P04TR</t>
  </si>
  <si>
    <t xml:space="preserve">Temporary Roads               </t>
  </si>
  <si>
    <t xml:space="preserve">Nurse Call, Electronic Access </t>
  </si>
  <si>
    <t>P04TS</t>
  </si>
  <si>
    <t xml:space="preserve">Temporary Signage &amp; Banners   </t>
  </si>
  <si>
    <t xml:space="preserve">Interior Designer Lounge      </t>
  </si>
  <si>
    <t>P05</t>
  </si>
  <si>
    <t>LW</t>
  </si>
  <si>
    <t xml:space="preserve">Labour for Site Establishment </t>
  </si>
  <si>
    <t xml:space="preserve">Metalwork AL1 Design          </t>
  </si>
  <si>
    <t xml:space="preserve">Margin Allowance              </t>
  </si>
  <si>
    <t xml:space="preserve">98
</t>
  </si>
  <si>
    <t>Sundry Income</t>
  </si>
  <si>
    <t>P05OS</t>
  </si>
  <si>
    <t xml:space="preserve">99
</t>
  </si>
  <si>
    <t>Variations</t>
  </si>
  <si>
    <t xml:space="preserve">Office Sheds &amp; Furnishings    </t>
  </si>
  <si>
    <t>P05SC</t>
  </si>
  <si>
    <t xml:space="preserve">Site Communications           </t>
  </si>
  <si>
    <t>P05SS</t>
  </si>
  <si>
    <t xml:space="preserve">Site Security                 </t>
  </si>
  <si>
    <t>P05TE</t>
  </si>
  <si>
    <t>P05TL</t>
  </si>
  <si>
    <t xml:space="preserve">Temporary Lighting            </t>
  </si>
  <si>
    <t xml:space="preserve">Temporary Water               </t>
  </si>
  <si>
    <t>P07</t>
  </si>
  <si>
    <t>IP</t>
  </si>
  <si>
    <t xml:space="preserve">McNAB Equipment Hire          </t>
  </si>
  <si>
    <t>P10BC</t>
  </si>
  <si>
    <t xml:space="preserve">Building Cadet                </t>
  </si>
  <si>
    <t>P10CA</t>
  </si>
  <si>
    <t xml:space="preserve">Contracts Administrator       </t>
  </si>
  <si>
    <t>P10DM</t>
  </si>
  <si>
    <t xml:space="preserve">Design Manager                </t>
  </si>
  <si>
    <t>P10EM</t>
  </si>
  <si>
    <t xml:space="preserve">ECI MANAGER                   </t>
  </si>
  <si>
    <t>P10ES</t>
  </si>
  <si>
    <t xml:space="preserve">Estimator/ Cost Planner       </t>
  </si>
  <si>
    <t>P10FM</t>
  </si>
  <si>
    <t xml:space="preserve">Foreman                       </t>
  </si>
  <si>
    <t xml:space="preserve">Foreman Fuel                  </t>
  </si>
  <si>
    <t>P10HS</t>
  </si>
  <si>
    <t xml:space="preserve">HSEQ Co-Ordinator             </t>
  </si>
  <si>
    <t>P10LH</t>
  </si>
  <si>
    <t xml:space="preserve">Leading Hand                  </t>
  </si>
  <si>
    <t>P10PM</t>
  </si>
  <si>
    <t xml:space="preserve">Project Manager               </t>
  </si>
  <si>
    <t>P10SL</t>
  </si>
  <si>
    <t xml:space="preserve">Site Labourer                 </t>
  </si>
  <si>
    <t xml:space="preserve">External Labour Hire          </t>
  </si>
  <si>
    <t>P10SM</t>
  </si>
  <si>
    <t xml:space="preserve">Site Manager                  </t>
  </si>
  <si>
    <t>P10WH</t>
  </si>
  <si>
    <t xml:space="preserve">HSE Advisor                   </t>
  </si>
  <si>
    <t>P11AC</t>
  </si>
  <si>
    <t xml:space="preserve">Staff Accommodation           </t>
  </si>
  <si>
    <t>P12</t>
  </si>
  <si>
    <t xml:space="preserve">Surveyor                      </t>
  </si>
  <si>
    <t>P13ES</t>
  </si>
  <si>
    <t xml:space="preserve">External Scaffolding Hire     </t>
  </si>
  <si>
    <t>P14MC</t>
  </si>
  <si>
    <t xml:space="preserve">Mobile Crane Hire             </t>
  </si>
  <si>
    <t>P14TC</t>
  </si>
  <si>
    <t xml:space="preserve">Cranes, Gantries &amp; Hoists     </t>
  </si>
  <si>
    <t>P15</t>
  </si>
  <si>
    <t xml:space="preserve">Cleaning                      </t>
  </si>
  <si>
    <t xml:space="preserve">Bin Hire                      </t>
  </si>
  <si>
    <t>P15FC</t>
  </si>
  <si>
    <t xml:space="preserve">Final Clean                   </t>
  </si>
  <si>
    <t>PO1CW</t>
  </si>
  <si>
    <t>PO2GO</t>
  </si>
  <si>
    <t xml:space="preserve">Geotechnical Consultant       </t>
  </si>
  <si>
    <t>PO3TS</t>
  </si>
  <si>
    <t>Temporary Sewer &amp; Water Connec</t>
  </si>
  <si>
    <t>PO4SE</t>
  </si>
  <si>
    <t xml:space="preserve">Site Expenses                 </t>
  </si>
  <si>
    <t>PO5CA</t>
  </si>
  <si>
    <t xml:space="preserve">Covered Areas &amp; Walkways      </t>
  </si>
  <si>
    <t>PO5SC</t>
  </si>
  <si>
    <t>PO5TE</t>
  </si>
  <si>
    <t>PO5TM</t>
  </si>
  <si>
    <t xml:space="preserve">Traffic Management Signage    </t>
  </si>
  <si>
    <t>PO5TT</t>
  </si>
  <si>
    <t xml:space="preserve">Traffic Control               </t>
  </si>
  <si>
    <t>PO5TW</t>
  </si>
  <si>
    <t>PO6</t>
  </si>
  <si>
    <t>Stationary and Office Supplies</t>
  </si>
  <si>
    <t>PO7</t>
  </si>
  <si>
    <t xml:space="preserve">McNab Equipment Hire          </t>
  </si>
  <si>
    <t xml:space="preserve">Dewatering                    </t>
  </si>
  <si>
    <t xml:space="preserve">Small Tools                   </t>
  </si>
  <si>
    <t>PO8</t>
  </si>
  <si>
    <t xml:space="preserve">Site Safety Equipment         </t>
  </si>
  <si>
    <t>T06</t>
  </si>
  <si>
    <t xml:space="preserve">BULK EARTHWORKS               </t>
  </si>
  <si>
    <t>T06DE</t>
  </si>
  <si>
    <t xml:space="preserve">DETAILED EXCAVATION           </t>
  </si>
  <si>
    <t>T08</t>
  </si>
  <si>
    <t xml:space="preserve">PILING                        </t>
  </si>
  <si>
    <t>T091</t>
  </si>
  <si>
    <t xml:space="preserve">CONCRETE SUPPLY               </t>
  </si>
  <si>
    <t xml:space="preserve">CONCRETE LABOUR               </t>
  </si>
  <si>
    <t>T091PU</t>
  </si>
  <si>
    <t xml:space="preserve">CONCRETE PUMPING              </t>
  </si>
  <si>
    <t>T091T</t>
  </si>
  <si>
    <t xml:space="preserve">CONCRETE TESTING &amp; SUNDRIES   </t>
  </si>
  <si>
    <t>T091TT</t>
  </si>
  <si>
    <t xml:space="preserve">TERMITE TREATMENT             </t>
  </si>
  <si>
    <t>T092</t>
  </si>
  <si>
    <t xml:space="preserve">REINFORCEMENT PLACING         </t>
  </si>
  <si>
    <t>T093</t>
  </si>
  <si>
    <t xml:space="preserve">FORMWORK                      </t>
  </si>
  <si>
    <t>T11</t>
  </si>
  <si>
    <t xml:space="preserve">MASONRY - BLOCKWORK           </t>
  </si>
  <si>
    <t>T12</t>
  </si>
  <si>
    <t xml:space="preserve">STRUCTURAL STEEL              </t>
  </si>
  <si>
    <t>T13</t>
  </si>
  <si>
    <t xml:space="preserve">METALWORK                     </t>
  </si>
  <si>
    <t>T13RC</t>
  </si>
  <si>
    <t xml:space="preserve">RUBBISH/LAUNDRY CHUTE SYSTEM  </t>
  </si>
  <si>
    <t>T14</t>
  </si>
  <si>
    <t xml:space="preserve">ROOFING                       </t>
  </si>
  <si>
    <t>T14RS</t>
  </si>
  <si>
    <t xml:space="preserve">ROOF ACCESS &amp; SAFETY          </t>
  </si>
  <si>
    <t>T15</t>
  </si>
  <si>
    <t xml:space="preserve">WATERPROOFING &amp; TANKING       </t>
  </si>
  <si>
    <t>T16</t>
  </si>
  <si>
    <t xml:space="preserve">CARPENTRY - MISCELLANEOUS     </t>
  </si>
  <si>
    <t>T16TT</t>
  </si>
  <si>
    <t xml:space="preserve">TRUSSES                       </t>
  </si>
  <si>
    <t>T17</t>
  </si>
  <si>
    <t xml:space="preserve">ALUMINIUM WINDOWS &amp; DOORS     </t>
  </si>
  <si>
    <t>T18</t>
  </si>
  <si>
    <t xml:space="preserve">DOOR &amp; SUNDRY HARDWARE        </t>
  </si>
  <si>
    <t xml:space="preserve">TIMBER DOORS &amp; FRAMES         </t>
  </si>
  <si>
    <t>T19</t>
  </si>
  <si>
    <t xml:space="preserve">CEILINGS &amp; PARTITIONS         </t>
  </si>
  <si>
    <t>T20</t>
  </si>
  <si>
    <t xml:space="preserve">JOINERY &amp; BENCHTOPS           </t>
  </si>
  <si>
    <t>T21</t>
  </si>
  <si>
    <t xml:space="preserve">STAINLESS STEEL               </t>
  </si>
  <si>
    <t>T22</t>
  </si>
  <si>
    <t xml:space="preserve">FLOOR COVERINGS               </t>
  </si>
  <si>
    <t>T23</t>
  </si>
  <si>
    <t xml:space="preserve">TILING SUPPLY                 </t>
  </si>
  <si>
    <t xml:space="preserve">TILING INSTALL                </t>
  </si>
  <si>
    <t>T23C</t>
  </si>
  <si>
    <t xml:space="preserve">CLADDING                      </t>
  </si>
  <si>
    <t>T24</t>
  </si>
  <si>
    <t xml:space="preserve">PAINTING                      </t>
  </si>
  <si>
    <t>T24R</t>
  </si>
  <si>
    <t xml:space="preserve">RENDER                        </t>
  </si>
  <si>
    <t>T25</t>
  </si>
  <si>
    <t xml:space="preserve">HYDRAULIC SERVICES            </t>
  </si>
  <si>
    <t>T25HF</t>
  </si>
  <si>
    <t>SANITARY HARDWARE/HYDRAULIC FF</t>
  </si>
  <si>
    <t>T26</t>
  </si>
  <si>
    <t xml:space="preserve">ELECTRICAL SERVICES           </t>
  </si>
  <si>
    <t>T27</t>
  </si>
  <si>
    <t xml:space="preserve">MECHANICAL SERVICES           </t>
  </si>
  <si>
    <t>T28</t>
  </si>
  <si>
    <t xml:space="preserve">LIFT SERVICES                 </t>
  </si>
  <si>
    <t>T29</t>
  </si>
  <si>
    <t xml:space="preserve">FIRE SERVICES                 </t>
  </si>
  <si>
    <t>T30</t>
  </si>
  <si>
    <t xml:space="preserve">LANDSCAPING                   </t>
  </si>
  <si>
    <t>T32</t>
  </si>
  <si>
    <t xml:space="preserve">SIGNAGE                       </t>
  </si>
  <si>
    <t>T9901</t>
  </si>
  <si>
    <t>T9902</t>
  </si>
  <si>
    <t>T9903</t>
  </si>
  <si>
    <t>T9904</t>
  </si>
  <si>
    <t>Reception, Hairsalon and Priva</t>
  </si>
  <si>
    <t>T9905</t>
  </si>
  <si>
    <t>T9906</t>
  </si>
  <si>
    <t>Interior Designer Lounge Scree</t>
  </si>
  <si>
    <t>T9907</t>
  </si>
  <si>
    <t>Metalwork AL1 Design Rationali</t>
  </si>
  <si>
    <t>TO92</t>
  </si>
  <si>
    <t xml:space="preserve">REINFORCEMENT SUPPLY          </t>
  </si>
  <si>
    <t xml:space="preserve">D&amp;C Margin </t>
  </si>
  <si>
    <t/>
  </si>
  <si>
    <t xml:space="preserve">CARPENTRY                     </t>
  </si>
  <si>
    <t xml:space="preserve">42          </t>
  </si>
  <si>
    <t xml:space="preserve">43          </t>
  </si>
  <si>
    <t>P99</t>
  </si>
  <si>
    <t xml:space="preserve">Preliminary Contingency       </t>
  </si>
  <si>
    <t>POOECI</t>
  </si>
  <si>
    <t xml:space="preserve">ECI Costs                     </t>
  </si>
  <si>
    <t>T98</t>
  </si>
  <si>
    <t>T094</t>
  </si>
  <si>
    <t xml:space="preserve">Permanent Formwork            </t>
  </si>
  <si>
    <t xml:space="preserve">REINFORCEMENT SUPPLY DONT USE </t>
  </si>
  <si>
    <t>BOND/BG</t>
  </si>
  <si>
    <t xml:space="preserve">INV-1356  </t>
  </si>
  <si>
    <t xml:space="preserve">LIZA01  </t>
  </si>
  <si>
    <t xml:space="preserve">LIZARD CONCRETE PUMPING       </t>
  </si>
  <si>
    <t xml:space="preserve">WHAL01  </t>
  </si>
  <si>
    <t xml:space="preserve">WHALE BINS                    </t>
  </si>
  <si>
    <t xml:space="preserve">Fire / Elec / Mech Consultant </t>
  </si>
  <si>
    <t xml:space="preserve">Section J                     </t>
  </si>
  <si>
    <t xml:space="preserve">External Programming          </t>
  </si>
  <si>
    <t>P02</t>
  </si>
  <si>
    <t xml:space="preserve">Generators                    </t>
  </si>
  <si>
    <t xml:space="preserve">SUNC20  </t>
  </si>
  <si>
    <t xml:space="preserve">SUNCOAST CONCRETE DRILLING    </t>
  </si>
  <si>
    <t xml:space="preserve">CABL04  </t>
  </si>
  <si>
    <t xml:space="preserve">CABLECOMM PTY LTD             </t>
  </si>
  <si>
    <t xml:space="preserve">MMWA01  </t>
  </si>
  <si>
    <t xml:space="preserve">M &amp; M WATERPROOFING BRISBANE  </t>
  </si>
  <si>
    <t xml:space="preserve">ACOR01  </t>
  </si>
  <si>
    <t xml:space="preserve">ACOR CONSULTANTS              </t>
  </si>
  <si>
    <t>Claim</t>
  </si>
  <si>
    <t xml:space="preserve">INV-8594  </t>
  </si>
  <si>
    <t xml:space="preserve">BUNN01  </t>
  </si>
  <si>
    <t>BUNNINGS BUILDING SUPPLIES PTY</t>
  </si>
  <si>
    <t xml:space="preserve">BULK01  </t>
  </si>
  <si>
    <t xml:space="preserve">BULK FUEL AUSTRALIA           </t>
  </si>
  <si>
    <t xml:space="preserve">YORK02  </t>
  </si>
  <si>
    <t xml:space="preserve">YORKE CONSULTING PTY LTD      </t>
  </si>
  <si>
    <t xml:space="preserve">KENN01  </t>
  </si>
  <si>
    <t xml:space="preserve">KENNARDS HIRE                 </t>
  </si>
  <si>
    <t xml:space="preserve">REEC02  </t>
  </si>
  <si>
    <t xml:space="preserve">REECE PTY LTD                 </t>
  </si>
  <si>
    <t xml:space="preserve">INV-8699  </t>
  </si>
  <si>
    <t xml:space="preserve">FITO01  </t>
  </si>
  <si>
    <t xml:space="preserve">FITOUT GLASS &amp; ALUMINIUM      </t>
  </si>
  <si>
    <t xml:space="preserve">TRAD08  </t>
  </si>
  <si>
    <t xml:space="preserve">TRADELINE SITE SOLUTIONS      </t>
  </si>
  <si>
    <t xml:space="preserve">BOUT06  </t>
  </si>
  <si>
    <t>BOUTIQUE KITCHENS &amp; JOINERY-FA</t>
  </si>
  <si>
    <t xml:space="preserve">ACTI02  </t>
  </si>
  <si>
    <t xml:space="preserve">ACTIVE CRANE HIRE PTY LTD     </t>
  </si>
  <si>
    <t xml:space="preserve">ASPI03  </t>
  </si>
  <si>
    <t xml:space="preserve">ASPIRE TOWER CRANES           </t>
  </si>
  <si>
    <t xml:space="preserve">SIXS01  </t>
  </si>
  <si>
    <t xml:space="preserve">SIX STAR TILING               </t>
  </si>
  <si>
    <t xml:space="preserve">INV-8733  </t>
  </si>
  <si>
    <t xml:space="preserve">LAGW01  </t>
  </si>
  <si>
    <t xml:space="preserve">LAGWORKS PTY LTD              </t>
  </si>
  <si>
    <t xml:space="preserve">TKFO01  </t>
  </si>
  <si>
    <t>TK FORMBUILD CONSTRUCTIONS PTY</t>
  </si>
  <si>
    <t xml:space="preserve">DYFA03  </t>
  </si>
  <si>
    <t xml:space="preserve">DYFA PLUMBING                 </t>
  </si>
  <si>
    <t xml:space="preserve">RICK01  </t>
  </si>
  <si>
    <t xml:space="preserve">RICKS DOORS                   </t>
  </si>
  <si>
    <t xml:space="preserve">UNIV24  </t>
  </si>
  <si>
    <t xml:space="preserve">UNIVERSAL COATINGS PTY LTD    </t>
  </si>
  <si>
    <t xml:space="preserve">FORK01  </t>
  </si>
  <si>
    <t xml:space="preserve">FORKFORCE                     </t>
  </si>
  <si>
    <t xml:space="preserve">212954561 </t>
  </si>
  <si>
    <t xml:space="preserve">HAFE01  </t>
  </si>
  <si>
    <t xml:space="preserve">HAFELE AUSTRALIA PTY LTD      </t>
  </si>
  <si>
    <t xml:space="preserve">212954708 </t>
  </si>
  <si>
    <t xml:space="preserve">INV-0992  </t>
  </si>
  <si>
    <t xml:space="preserve">M&amp;CJ01  </t>
  </si>
  <si>
    <t xml:space="preserve">M&amp;C JOINT SEALING PTY LTD     </t>
  </si>
  <si>
    <t>9/01367265</t>
  </si>
  <si>
    <t xml:space="preserve">94789     </t>
  </si>
  <si>
    <t xml:space="preserve">NORT55  </t>
  </si>
  <si>
    <t xml:space="preserve">NORTH QLD CUSTOMS SERVICES    </t>
  </si>
  <si>
    <t>9/99850072</t>
  </si>
  <si>
    <t>9/00964946</t>
  </si>
  <si>
    <t xml:space="preserve">00046948  </t>
  </si>
  <si>
    <t xml:space="preserve">00199425  </t>
  </si>
  <si>
    <t xml:space="preserve">00989/7   </t>
  </si>
  <si>
    <t xml:space="preserve">I007453   </t>
  </si>
  <si>
    <t xml:space="preserve">LWI449    </t>
  </si>
  <si>
    <t xml:space="preserve">22066-08  </t>
  </si>
  <si>
    <t xml:space="preserve">7294      </t>
  </si>
  <si>
    <t xml:space="preserve">CUST09  </t>
  </si>
  <si>
    <t xml:space="preserve">CUSTOM METAL SOLUTIONS        </t>
  </si>
  <si>
    <t xml:space="preserve">INV-2933  </t>
  </si>
  <si>
    <t xml:space="preserve">MARS07  </t>
  </si>
  <si>
    <t xml:space="preserve">MARSH HEIGHT SAFETY (AUST)    </t>
  </si>
  <si>
    <t xml:space="preserve">00002643  </t>
  </si>
  <si>
    <t xml:space="preserve">BEEL02  </t>
  </si>
  <si>
    <t xml:space="preserve">BEEL WELDING &amp; FABRICATION    </t>
  </si>
  <si>
    <t xml:space="preserve">00004903  </t>
  </si>
  <si>
    <t xml:space="preserve">00020481  </t>
  </si>
  <si>
    <t xml:space="preserve">00199386  </t>
  </si>
  <si>
    <t xml:space="preserve">01503719  </t>
  </si>
  <si>
    <t xml:space="preserve">1300      </t>
  </si>
  <si>
    <t xml:space="preserve">16164     </t>
  </si>
  <si>
    <t xml:space="preserve">22066-01  </t>
  </si>
  <si>
    <t xml:space="preserve">UNDE06  </t>
  </si>
  <si>
    <t xml:space="preserve">UNDERCOVER ROOFING PTY LTD    </t>
  </si>
  <si>
    <t xml:space="preserve">24931837  </t>
  </si>
  <si>
    <t xml:space="preserve">25593     </t>
  </si>
  <si>
    <t xml:space="preserve">32744925  </t>
  </si>
  <si>
    <t xml:space="preserve">32744927  </t>
  </si>
  <si>
    <t xml:space="preserve">INV-0924  </t>
  </si>
  <si>
    <t xml:space="preserve">TSS/17528 </t>
  </si>
  <si>
    <t xml:space="preserve">00024328  </t>
  </si>
  <si>
    <t xml:space="preserve">614801    </t>
  </si>
  <si>
    <t xml:space="preserve">106001329 </t>
  </si>
  <si>
    <t xml:space="preserve">INV-1635  </t>
  </si>
  <si>
    <t xml:space="preserve">7384646   </t>
  </si>
  <si>
    <t xml:space="preserve">AUSC05  </t>
  </si>
  <si>
    <t xml:space="preserve">AUSCO MODULAR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</si>
</sst>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"/>
    <numFmt numFmtId="165" formatCode="_(* #,##0_);_(* \(#,##0\);_(* &quot;-&quot;??_);_(@_)"/>
    <numFmt numFmtId="166" formatCode="0.0%"/>
    <numFmt numFmtId="167" formatCode="_(&quot;$&quot;* #,##0.00_);_(&quot;$&quot;* \(#,##0.00\);_(&quot;$&quot;* &quot;-&quot;??_);_(@_)"/>
    <numFmt numFmtId="168" formatCode="&quot;$&quot;#,##0_);\(&quot;$&quot;#,##0\)"/>
    <numFmt numFmtId="169" formatCode="&quot;$&quot;#,##0.00_);\(&quot;$&quot;#,##0.00\)"/>
    <numFmt numFmtId="170" formatCode="[$-C09]d\ mmmm\ yyyy;@"/>
    <numFmt numFmtId="171" formatCode="mmm\ \'yy"/>
    <numFmt numFmtId="172" formatCode="[$-C09]dd\ mmm\ yy;@"/>
    <numFmt numFmtId="173" formatCode="#,##0\ &quot;Days&quot;"/>
    <numFmt numFmtId="174" formatCode="0.0%\ &quot;MAX&quot;"/>
    <numFmt numFmtId="175" formatCode="0.0%\ &quot;CURRENT&quot;"/>
    <numFmt numFmtId="176" formatCode="&quot;00000000&quot;"/>
    <numFmt numFmtId="177" formatCode="#,##0;[Red]\(#,##0\)"/>
    <numFmt numFmtId="178" formatCode="#,##0\ ;[Red]\(#,##0\)"/>
    <numFmt numFmtId="179" formatCode="_-* #,##0_-;\-* #,##0_-;_-* &quot;-&quot;??_-;_-@_-"/>
    <numFmt numFmtId="180" formatCode="_-\ #,##0%_-;[Red]\(\ #,##0%\)_-;_-* &quot;&quot;??_-;_-@_-"/>
    <numFmt numFmtId="181" formatCode="_-* #,##0_-;[Red]\(\ #,##0_-\);_-* &quot;-&quot;??_-;_-@_-"/>
    <numFmt numFmtId="182" formatCode="#,##0%;[Red]\(#,##0%\);_-* &quot;&quot;_-;_-@_-"/>
    <numFmt numFmtId="183" formatCode="#,##0.00%;[Red]\(#,##0.00%\);_-* &quot;&quot;_-;_-@_-"/>
    <numFmt numFmtId="184" formatCode="hh\:mm\:ss"/>
    <numFmt numFmtId="185" formatCode="dd\/mm\/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</font>
    <font>
      <sz val="10"/>
      <color rgb="FFFFFF00"/>
      <name val="Arial"/>
      <family val="2"/>
    </font>
    <font>
      <sz val="11"/>
      <color rgb="FFFFFF00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</font>
    <font>
      <sz val="9"/>
      <color rgb="FF333333"/>
      <name val="Arial"/>
    </font>
    <font>
      <b/>
      <sz val="9"/>
      <color rgb="FF000000"/>
      <name val="Arial"/>
    </font>
    <font>
      <sz val="9"/>
      <color rgb="FF000000"/>
      <name val="Arial"/>
    </font>
    <font>
      <i/>
      <sz val="9"/>
      <color rgb="FF000000"/>
      <name val="Arial"/>
    </font>
  </fonts>
  <fills count="2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4C7FF"/>
        <bgColor rgb="FFFFFFFF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Grid">
        <fgColor theme="4" tint="0.59996337778862885"/>
        <bgColor theme="6" tint="0.79998168889431442"/>
      </patternFill>
    </fill>
    <fill>
      <patternFill patternType="lightGrid">
        <fgColor theme="4" tint="0.59996337778862885"/>
        <bgColor indexed="65"/>
      </patternFill>
    </fill>
    <fill>
      <patternFill patternType="lightGrid">
        <fgColor theme="4" tint="0.59996337778862885"/>
        <bgColor theme="1" tint="0.34998626667073579"/>
      </patternFill>
    </fill>
    <fill>
      <patternFill patternType="lightGrid">
        <fgColor theme="4" tint="0.59996337778862885"/>
        <bgColor rgb="FFFFFFCC"/>
      </patternFill>
    </fill>
    <fill>
      <patternFill patternType="lightGrid">
        <fgColor theme="4" tint="0.59996337778862885"/>
        <bgColor rgb="FFFFFF99"/>
      </patternFill>
    </fill>
    <fill>
      <patternFill patternType="lightGrid">
        <fgColor theme="4" tint="0.59996337778862885"/>
        <bgColor theme="2" tint="-0.249977111117893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rgb="FFFF860D"/>
      </left>
      <right/>
      <top style="thick">
        <color rgb="FFFF860D"/>
      </top>
      <bottom style="medium">
        <color indexed="64"/>
      </bottom>
      <diagonal/>
    </border>
    <border>
      <left style="medium">
        <color theme="1"/>
      </left>
      <right style="thick">
        <color theme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ck">
        <color theme="9"/>
      </left>
      <right/>
      <top style="thick">
        <color rgb="FFFF860D"/>
      </top>
      <bottom style="medium">
        <color indexed="64"/>
      </bottom>
      <diagonal/>
    </border>
    <border>
      <left/>
      <right style="thick">
        <color theme="9"/>
      </right>
      <top style="thick">
        <color rgb="FFFF860D"/>
      </top>
      <bottom style="medium">
        <color indexed="64"/>
      </bottom>
      <diagonal/>
    </border>
    <border>
      <left style="thick">
        <color theme="9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theme="9"/>
      </right>
      <top style="medium">
        <color indexed="64"/>
      </top>
      <bottom style="medium">
        <color indexed="64"/>
      </bottom>
      <diagonal/>
    </border>
    <border>
      <left style="thick">
        <color theme="9"/>
      </left>
      <right/>
      <top style="medium">
        <color indexed="64"/>
      </top>
      <bottom/>
      <diagonal/>
    </border>
    <border>
      <left/>
      <right style="thick">
        <color theme="9"/>
      </right>
      <top style="medium">
        <color indexed="64"/>
      </top>
      <bottom/>
      <diagonal/>
    </border>
    <border>
      <left style="thick">
        <color theme="9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thick">
        <color theme="9"/>
      </right>
      <top/>
      <bottom style="thin">
        <color indexed="64"/>
      </bottom>
      <diagonal/>
    </border>
    <border>
      <left style="thick">
        <color theme="9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ck">
        <color theme="9"/>
      </right>
      <top style="thin">
        <color indexed="64"/>
      </top>
      <bottom style="thin">
        <color indexed="64"/>
      </bottom>
      <diagonal/>
    </border>
    <border>
      <left style="thick">
        <color theme="9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thick">
        <color theme="9"/>
      </left>
      <right style="medium">
        <color theme="1"/>
      </right>
      <top/>
      <bottom style="thick">
        <color rgb="FFFF860D"/>
      </bottom>
      <diagonal/>
    </border>
    <border>
      <left style="medium">
        <color theme="1"/>
      </left>
      <right style="thick">
        <color theme="9"/>
      </right>
      <top/>
      <bottom style="thick">
        <color rgb="FFFF860D"/>
      </bottom>
      <diagonal/>
    </border>
    <border>
      <left style="thick">
        <color rgb="FFFF860D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rgb="FFFF860D"/>
      </right>
      <top style="medium">
        <color indexed="64"/>
      </top>
      <bottom style="medium">
        <color indexed="64"/>
      </bottom>
      <diagonal/>
    </border>
    <border>
      <left style="thick">
        <color theme="9"/>
      </left>
      <right style="thin">
        <color indexed="64"/>
      </right>
      <top style="thick">
        <color theme="9"/>
      </top>
      <bottom/>
      <diagonal/>
    </border>
    <border>
      <left style="thin">
        <color indexed="64"/>
      </left>
      <right/>
      <top style="thick">
        <color theme="9"/>
      </top>
      <bottom style="medium">
        <color indexed="64"/>
      </bottom>
      <diagonal/>
    </border>
    <border>
      <left/>
      <right/>
      <top style="thick">
        <color theme="9"/>
      </top>
      <bottom style="medium">
        <color indexed="64"/>
      </bottom>
      <diagonal/>
    </border>
    <border>
      <left style="thick">
        <color theme="9"/>
      </left>
      <right style="medium">
        <color theme="1"/>
      </right>
      <top style="thick">
        <color theme="9"/>
      </top>
      <bottom style="medium">
        <color indexed="64"/>
      </bottom>
      <diagonal/>
    </border>
    <border>
      <left style="medium">
        <color theme="1"/>
      </left>
      <right style="thick">
        <color theme="9"/>
      </right>
      <top style="thick">
        <color theme="9"/>
      </top>
      <bottom style="medium">
        <color indexed="64"/>
      </bottom>
      <diagonal/>
    </border>
    <border>
      <left style="thick">
        <color theme="9"/>
      </left>
      <right style="thin">
        <color indexed="64"/>
      </right>
      <top/>
      <bottom/>
      <diagonal/>
    </border>
    <border>
      <left style="thick">
        <color theme="9"/>
      </left>
      <right style="thin">
        <color indexed="64"/>
      </right>
      <top/>
      <bottom style="thick">
        <color theme="9"/>
      </bottom>
      <diagonal/>
    </border>
    <border>
      <left/>
      <right/>
      <top style="medium">
        <color indexed="64"/>
      </top>
      <bottom style="thick">
        <color theme="9"/>
      </bottom>
      <diagonal/>
    </border>
    <border>
      <left style="thick">
        <color rgb="FFFF860D"/>
      </left>
      <right style="thin">
        <color auto="1"/>
      </right>
      <top style="medium">
        <color indexed="64"/>
      </top>
      <bottom style="thick">
        <color theme="9"/>
      </bottom>
      <diagonal/>
    </border>
    <border>
      <left style="thin">
        <color auto="1"/>
      </left>
      <right style="thick">
        <color rgb="FFFF860D"/>
      </right>
      <top style="medium">
        <color indexed="64"/>
      </top>
      <bottom style="thick">
        <color theme="9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theme="9"/>
      </left>
      <right/>
      <top/>
      <bottom/>
      <diagonal/>
    </border>
    <border>
      <left style="thin">
        <color indexed="64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 style="thick">
        <color theme="9"/>
      </left>
      <right style="medium">
        <color theme="1"/>
      </right>
      <top style="thick">
        <color theme="9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theme="9"/>
      </left>
      <right style="medium">
        <color theme="1"/>
      </right>
      <top/>
      <bottom style="medium">
        <color indexed="64"/>
      </bottom>
      <diagonal/>
    </border>
    <border>
      <left style="thick">
        <color theme="9"/>
      </left>
      <right/>
      <top style="thick">
        <color theme="9"/>
      </top>
      <bottom/>
      <diagonal/>
    </border>
    <border>
      <left style="thick">
        <color theme="9"/>
      </left>
      <right/>
      <top/>
      <bottom style="medium">
        <color indexed="64"/>
      </bottom>
      <diagonal/>
    </border>
    <border>
      <left style="thick">
        <color theme="9"/>
      </left>
      <right/>
      <top/>
      <bottom style="thick">
        <color theme="9"/>
      </bottom>
      <diagonal/>
    </border>
    <border>
      <left/>
      <right/>
      <top/>
      <bottom style="thick">
        <color theme="9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2" applyNumberFormat="0"/>
    <xf numFmtId="0" fontId="8" fillId="0" borderId="2" applyNumberFormat="0"/>
    <xf numFmtId="0" fontId="10" fillId="0" borderId="0"/>
    <xf numFmtId="0" fontId="9" fillId="8" borderId="0" applyNumberFormat="0" applyBorder="0" applyAlignment="0" applyProtection="0"/>
    <xf numFmtId="0" fontId="1" fillId="15" borderId="0" applyNumberFormat="0" applyBorder="0" applyAlignment="0" applyProtection="0"/>
    <xf numFmtId="0" fontId="16" fillId="0" borderId="0"/>
  </cellStyleXfs>
  <cellXfs count="288">
    <xf numFmtId="0" fontId="0" fillId="0" borderId="0" xfId="0"/>
    <xf numFmtId="164" fontId="2" fillId="0" borderId="0" xfId="1" applyNumberFormat="1" applyFont="1" applyProtection="1">
      <protection locked="0"/>
    </xf>
    <xf numFmtId="164" fontId="2" fillId="0" borderId="1" xfId="1" applyNumberFormat="1" applyFont="1" applyFill="1" applyBorder="1" applyProtection="1">
      <protection locked="0"/>
    </xf>
    <xf numFmtId="165" fontId="2" fillId="0" borderId="0" xfId="1" applyNumberFormat="1" applyFont="1" applyFill="1" applyProtection="1">
      <protection locked="0"/>
    </xf>
    <xf numFmtId="164" fontId="2" fillId="3" borderId="1" xfId="1" applyNumberFormat="1" applyFont="1" applyFill="1" applyBorder="1" applyProtection="1">
      <protection locked="0"/>
    </xf>
    <xf numFmtId="167" fontId="2" fillId="0" borderId="0" xfId="2" applyNumberFormat="1" applyFont="1" applyProtection="1"/>
    <xf numFmtId="165" fontId="3" fillId="0" borderId="0" xfId="1" applyNumberFormat="1" applyFont="1" applyFill="1" applyProtection="1">
      <protection locked="0"/>
    </xf>
    <xf numFmtId="164" fontId="3" fillId="4" borderId="5" xfId="0" applyNumberFormat="1" applyFont="1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/>
    </xf>
    <xf numFmtId="165" fontId="2" fillId="0" borderId="0" xfId="1" applyNumberFormat="1" applyFont="1" applyFill="1" applyProtection="1"/>
    <xf numFmtId="170" fontId="2" fillId="0" borderId="0" xfId="2" applyNumberFormat="1" applyFont="1" applyFill="1" applyAlignment="1" applyProtection="1">
      <alignment horizontal="right"/>
    </xf>
    <xf numFmtId="166" fontId="3" fillId="0" borderId="0" xfId="1" applyNumberFormat="1" applyFont="1" applyProtection="1"/>
    <xf numFmtId="10" fontId="2" fillId="0" borderId="0" xfId="1" applyNumberFormat="1" applyFont="1" applyProtection="1"/>
    <xf numFmtId="10" fontId="2" fillId="0" borderId="0" xfId="3" applyNumberFormat="1" applyFont="1" applyProtection="1"/>
    <xf numFmtId="164" fontId="3" fillId="4" borderId="11" xfId="0" applyNumberFormat="1" applyFont="1" applyFill="1" applyBorder="1" applyAlignment="1" applyProtection="1">
      <alignment horizontal="center"/>
    </xf>
    <xf numFmtId="0" fontId="3" fillId="4" borderId="0" xfId="0" applyFont="1" applyFill="1" applyBorder="1" applyAlignment="1" applyProtection="1">
      <alignment horizontal="center"/>
    </xf>
    <xf numFmtId="168" fontId="3" fillId="4" borderId="0" xfId="0" applyNumberFormat="1" applyFont="1" applyFill="1" applyBorder="1" applyAlignment="1" applyProtection="1">
      <alignment horizontal="center"/>
    </xf>
    <xf numFmtId="168" fontId="3" fillId="4" borderId="4" xfId="0" applyNumberFormat="1" applyFont="1" applyFill="1" applyBorder="1" applyAlignment="1" applyProtection="1"/>
    <xf numFmtId="49" fontId="2" fillId="2" borderId="5" xfId="1" applyNumberFormat="1" applyFont="1" applyFill="1" applyBorder="1" applyAlignment="1" applyProtection="1">
      <alignment horizontal="center" vertical="center" wrapText="1" shrinkToFit="1"/>
      <protection locked="0"/>
    </xf>
    <xf numFmtId="165" fontId="2" fillId="2" borderId="10" xfId="1" applyNumberFormat="1" applyFont="1" applyFill="1" applyBorder="1" applyProtection="1">
      <protection locked="0"/>
    </xf>
    <xf numFmtId="17" fontId="3" fillId="0" borderId="0" xfId="1" applyNumberFormat="1" applyFont="1" applyFill="1" applyProtection="1">
      <protection locked="0"/>
    </xf>
    <xf numFmtId="17" fontId="2" fillId="0" borderId="0" xfId="1" applyNumberFormat="1" applyFont="1" applyFill="1" applyProtection="1">
      <protection locked="0"/>
    </xf>
    <xf numFmtId="17" fontId="0" fillId="0" borderId="0" xfId="0" applyNumberFormat="1"/>
    <xf numFmtId="0" fontId="7" fillId="0" borderId="2" xfId="4" quotePrefix="1" applyNumberFormat="1" applyAlignment="1"/>
    <xf numFmtId="165" fontId="3" fillId="2" borderId="11" xfId="1" applyNumberFormat="1" applyFont="1" applyFill="1" applyBorder="1" applyAlignment="1" applyProtection="1">
      <alignment wrapText="1"/>
      <protection locked="0"/>
    </xf>
    <xf numFmtId="0" fontId="9" fillId="7" borderId="0" xfId="0" applyFont="1" applyFill="1"/>
    <xf numFmtId="0" fontId="7" fillId="0" borderId="14" xfId="4" applyNumberFormat="1" applyFill="1" applyBorder="1" applyAlignment="1"/>
    <xf numFmtId="172" fontId="9" fillId="8" borderId="2" xfId="7" applyNumberFormat="1" applyBorder="1" applyAlignment="1" applyProtection="1">
      <alignment horizontal="center"/>
      <protection locked="0"/>
    </xf>
    <xf numFmtId="176" fontId="7" fillId="0" borderId="2" xfId="4" quotePrefix="1" applyNumberFormat="1" applyAlignment="1"/>
    <xf numFmtId="166" fontId="2" fillId="0" borderId="0" xfId="1" applyNumberFormat="1" applyFont="1" applyProtection="1"/>
    <xf numFmtId="166" fontId="2" fillId="0" borderId="0" xfId="2" applyNumberFormat="1" applyFont="1" applyFill="1" applyAlignment="1" applyProtection="1">
      <alignment horizontal="right"/>
    </xf>
    <xf numFmtId="164" fontId="5" fillId="6" borderId="6" xfId="1" applyNumberFormat="1" applyFont="1" applyFill="1" applyBorder="1" applyProtection="1"/>
    <xf numFmtId="1" fontId="6" fillId="6" borderId="7" xfId="0" applyNumberFormat="1" applyFont="1" applyFill="1" applyBorder="1" applyProtection="1"/>
    <xf numFmtId="169" fontId="5" fillId="6" borderId="8" xfId="0" applyNumberFormat="1" applyFont="1" applyFill="1" applyBorder="1" applyProtection="1"/>
    <xf numFmtId="169" fontId="5" fillId="6" borderId="7" xfId="0" applyNumberFormat="1" applyFont="1" applyFill="1" applyBorder="1" applyProtection="1"/>
    <xf numFmtId="164" fontId="2" fillId="0" borderId="1" xfId="1" applyNumberFormat="1" applyFont="1" applyFill="1" applyBorder="1" applyProtection="1"/>
    <xf numFmtId="164" fontId="2" fillId="3" borderId="1" xfId="1" applyNumberFormat="1" applyFont="1" applyFill="1" applyBorder="1" applyProtection="1"/>
    <xf numFmtId="164" fontId="5" fillId="7" borderId="1" xfId="1" applyNumberFormat="1" applyFont="1" applyFill="1" applyBorder="1" applyProtection="1"/>
    <xf numFmtId="1" fontId="5" fillId="7" borderId="2" xfId="0" applyNumberFormat="1" applyFont="1" applyFill="1" applyBorder="1" applyProtection="1"/>
    <xf numFmtId="164" fontId="2" fillId="0" borderId="0" xfId="1" applyNumberFormat="1" applyFont="1" applyFill="1" applyProtection="1"/>
    <xf numFmtId="165" fontId="0" fillId="0" borderId="0" xfId="1" applyNumberFormat="1" applyFont="1" applyFill="1" applyProtection="1"/>
    <xf numFmtId="164" fontId="2" fillId="0" borderId="0" xfId="1" applyNumberFormat="1" applyFont="1" applyBorder="1" applyProtection="1"/>
    <xf numFmtId="165" fontId="3" fillId="0" borderId="0" xfId="1" applyNumberFormat="1" applyFont="1" applyBorder="1" applyProtection="1"/>
    <xf numFmtId="165" fontId="2" fillId="0" borderId="0" xfId="1" applyNumberFormat="1" applyFont="1" applyBorder="1" applyProtection="1"/>
    <xf numFmtId="167" fontId="2" fillId="0" borderId="0" xfId="2" applyNumberFormat="1" applyFont="1" applyBorder="1" applyProtection="1"/>
    <xf numFmtId="165" fontId="3" fillId="0" borderId="0" xfId="1" applyNumberFormat="1" applyFont="1" applyProtection="1">
      <protection locked="0"/>
    </xf>
    <xf numFmtId="49" fontId="2" fillId="2" borderId="4" xfId="1" applyNumberFormat="1" applyFont="1" applyFill="1" applyBorder="1" applyAlignment="1" applyProtection="1">
      <alignment vertical="center" shrinkToFit="1"/>
    </xf>
    <xf numFmtId="178" fontId="2" fillId="0" borderId="1" xfId="1" applyNumberFormat="1" applyFont="1" applyFill="1" applyBorder="1" applyProtection="1"/>
    <xf numFmtId="178" fontId="2" fillId="3" borderId="1" xfId="1" applyNumberFormat="1" applyFont="1" applyFill="1" applyBorder="1" applyProtection="1"/>
    <xf numFmtId="178" fontId="5" fillId="7" borderId="9" xfId="0" applyNumberFormat="1" applyFont="1" applyFill="1" applyBorder="1" applyProtection="1"/>
    <xf numFmtId="178" fontId="5" fillId="7" borderId="2" xfId="0" applyNumberFormat="1" applyFont="1" applyFill="1" applyBorder="1" applyProtection="1"/>
    <xf numFmtId="3" fontId="2" fillId="0" borderId="0" xfId="1" applyNumberFormat="1" applyFont="1" applyFill="1" applyProtection="1"/>
    <xf numFmtId="177" fontId="2" fillId="0" borderId="0" xfId="2" applyNumberFormat="1" applyFont="1" applyFill="1" applyProtection="1"/>
    <xf numFmtId="10" fontId="2" fillId="0" borderId="0" xfId="1" applyNumberFormat="1" applyFont="1" applyFill="1" applyProtection="1">
      <protection locked="0"/>
    </xf>
    <xf numFmtId="165" fontId="9" fillId="9" borderId="0" xfId="1" applyNumberFormat="1" applyFont="1" applyFill="1" applyProtection="1"/>
    <xf numFmtId="165" fontId="5" fillId="9" borderId="0" xfId="1" applyNumberFormat="1" applyFont="1" applyFill="1" applyProtection="1"/>
    <xf numFmtId="179" fontId="5" fillId="9" borderId="0" xfId="1" applyNumberFormat="1" applyFont="1" applyFill="1" applyProtection="1"/>
    <xf numFmtId="10" fontId="5" fillId="0" borderId="0" xfId="3" applyNumberFormat="1" applyFont="1" applyProtection="1"/>
    <xf numFmtId="165" fontId="5" fillId="0" borderId="0" xfId="1" applyNumberFormat="1" applyFont="1" applyFill="1" applyProtection="1"/>
    <xf numFmtId="171" fontId="3" fillId="4" borderId="12" xfId="2" applyNumberFormat="1" applyFont="1" applyFill="1" applyBorder="1" applyAlignment="1" applyProtection="1"/>
    <xf numFmtId="165" fontId="2" fillId="0" borderId="10" xfId="1" applyNumberFormat="1" applyFont="1" applyFill="1" applyBorder="1" applyProtection="1">
      <protection locked="0"/>
    </xf>
    <xf numFmtId="0" fontId="0" fillId="0" borderId="2" xfId="0" applyBorder="1"/>
    <xf numFmtId="43" fontId="12" fillId="7" borderId="0" xfId="1" applyFont="1" applyFill="1" applyAlignment="1"/>
    <xf numFmtId="0" fontId="12" fillId="7" borderId="0" xfId="0" applyFont="1" applyFill="1"/>
    <xf numFmtId="14" fontId="0" fillId="0" borderId="2" xfId="0" applyNumberFormat="1" applyBorder="1"/>
    <xf numFmtId="165" fontId="3" fillId="0" borderId="2" xfId="1" applyNumberFormat="1" applyFont="1" applyBorder="1" applyProtection="1">
      <protection locked="0"/>
    </xf>
    <xf numFmtId="173" fontId="4" fillId="0" borderId="2" xfId="1" applyNumberFormat="1" applyFont="1" applyFill="1" applyBorder="1" applyAlignment="1" applyProtection="1">
      <alignment horizontal="center"/>
    </xf>
    <xf numFmtId="174" fontId="3" fillId="0" borderId="2" xfId="1" applyNumberFormat="1" applyFont="1" applyBorder="1" applyProtection="1"/>
    <xf numFmtId="175" fontId="3" fillId="0" borderId="2" xfId="1" applyNumberFormat="1" applyFont="1" applyBorder="1" applyProtection="1"/>
    <xf numFmtId="49" fontId="2" fillId="2" borderId="15" xfId="1" applyNumberFormat="1" applyFont="1" applyFill="1" applyBorder="1" applyAlignment="1" applyProtection="1">
      <alignment vertical="center" shrinkToFit="1"/>
    </xf>
    <xf numFmtId="9" fontId="5" fillId="6" borderId="22" xfId="3" applyFont="1" applyFill="1" applyBorder="1" applyProtection="1">
      <protection locked="0"/>
    </xf>
    <xf numFmtId="177" fontId="5" fillId="6" borderId="23" xfId="2" applyNumberFormat="1" applyFont="1" applyFill="1" applyBorder="1" applyProtection="1"/>
    <xf numFmtId="9" fontId="2" fillId="2" borderId="24" xfId="3" applyFont="1" applyFill="1" applyBorder="1" applyProtection="1">
      <protection locked="0"/>
    </xf>
    <xf numFmtId="10" fontId="5" fillId="7" borderId="24" xfId="3" applyNumberFormat="1" applyFont="1" applyFill="1" applyBorder="1" applyProtection="1">
      <protection locked="0"/>
    </xf>
    <xf numFmtId="177" fontId="5" fillId="7" borderId="25" xfId="2" applyNumberFormat="1" applyFont="1" applyFill="1" applyBorder="1" applyProtection="1"/>
    <xf numFmtId="166" fontId="2" fillId="0" borderId="27" xfId="3" applyNumberFormat="1" applyFont="1" applyFill="1" applyBorder="1" applyProtection="1"/>
    <xf numFmtId="177" fontId="2" fillId="0" borderId="28" xfId="2" applyNumberFormat="1" applyFont="1" applyFill="1" applyBorder="1" applyProtection="1"/>
    <xf numFmtId="164" fontId="3" fillId="3" borderId="31" xfId="1" applyNumberFormat="1" applyFont="1" applyFill="1" applyBorder="1" applyProtection="1"/>
    <xf numFmtId="165" fontId="2" fillId="3" borderId="33" xfId="1" applyNumberFormat="1" applyFont="1" applyFill="1" applyBorder="1" applyProtection="1"/>
    <xf numFmtId="165" fontId="3" fillId="3" borderId="32" xfId="1" applyNumberFormat="1" applyFont="1" applyFill="1" applyBorder="1" applyProtection="1"/>
    <xf numFmtId="164" fontId="13" fillId="7" borderId="1" xfId="1" applyNumberFormat="1" applyFont="1" applyFill="1" applyBorder="1" applyProtection="1"/>
    <xf numFmtId="1" fontId="13" fillId="7" borderId="2" xfId="0" applyNumberFormat="1" applyFont="1" applyFill="1" applyBorder="1" applyProtection="1"/>
    <xf numFmtId="178" fontId="13" fillId="7" borderId="9" xfId="0" applyNumberFormat="1" applyFont="1" applyFill="1" applyBorder="1" applyProtection="1"/>
    <xf numFmtId="178" fontId="13" fillId="7" borderId="2" xfId="0" applyNumberFormat="1" applyFont="1" applyFill="1" applyBorder="1" applyProtection="1"/>
    <xf numFmtId="10" fontId="13" fillId="7" borderId="24" xfId="3" applyNumberFormat="1" applyFont="1" applyFill="1" applyBorder="1" applyProtection="1">
      <protection locked="0"/>
    </xf>
    <xf numFmtId="177" fontId="13" fillId="7" borderId="25" xfId="2" applyNumberFormat="1" applyFont="1" applyFill="1" applyBorder="1" applyProtection="1"/>
    <xf numFmtId="0" fontId="14" fillId="0" borderId="0" xfId="0" applyFont="1"/>
    <xf numFmtId="0" fontId="0" fillId="10" borderId="15" xfId="0" applyFill="1" applyBorder="1"/>
    <xf numFmtId="17" fontId="0" fillId="10" borderId="15" xfId="0" applyNumberFormat="1" applyFill="1" applyBorder="1"/>
    <xf numFmtId="179" fontId="0" fillId="10" borderId="15" xfId="1" applyNumberFormat="1" applyFont="1" applyFill="1" applyBorder="1"/>
    <xf numFmtId="0" fontId="0" fillId="10" borderId="42" xfId="0" applyFill="1" applyBorder="1"/>
    <xf numFmtId="0" fontId="0" fillId="10" borderId="41" xfId="0" applyFill="1" applyBorder="1"/>
    <xf numFmtId="17" fontId="0" fillId="10" borderId="41" xfId="0" applyNumberFormat="1" applyFill="1" applyBorder="1"/>
    <xf numFmtId="178" fontId="0" fillId="10" borderId="41" xfId="0" applyNumberFormat="1" applyFill="1" applyBorder="1"/>
    <xf numFmtId="179" fontId="0" fillId="10" borderId="41" xfId="1" applyNumberFormat="1" applyFont="1" applyFill="1" applyBorder="1"/>
    <xf numFmtId="177" fontId="2" fillId="11" borderId="30" xfId="2" applyNumberFormat="1" applyFont="1" applyFill="1" applyBorder="1" applyProtection="1">
      <protection locked="0"/>
    </xf>
    <xf numFmtId="0" fontId="5" fillId="7" borderId="2" xfId="5" applyNumberFormat="1" applyFont="1" applyFill="1" applyAlignment="1"/>
    <xf numFmtId="179" fontId="12" fillId="7" borderId="0" xfId="1" applyNumberFormat="1" applyFont="1" applyFill="1" applyAlignment="1"/>
    <xf numFmtId="0" fontId="11" fillId="12" borderId="2" xfId="0" applyFont="1" applyFill="1" applyBorder="1" applyProtection="1">
      <protection locked="0"/>
    </xf>
    <xf numFmtId="165" fontId="3" fillId="12" borderId="2" xfId="1" applyNumberFormat="1" applyFont="1" applyFill="1" applyBorder="1" applyProtection="1">
      <protection locked="0"/>
    </xf>
    <xf numFmtId="0" fontId="11" fillId="12" borderId="2" xfId="0" applyFont="1" applyFill="1" applyBorder="1" applyAlignment="1" applyProtection="1">
      <alignment wrapText="1"/>
      <protection locked="0"/>
    </xf>
    <xf numFmtId="166" fontId="3" fillId="12" borderId="2" xfId="1" applyNumberFormat="1" applyFont="1" applyFill="1" applyBorder="1" applyAlignment="1" applyProtection="1">
      <alignment wrapText="1"/>
      <protection locked="0"/>
    </xf>
    <xf numFmtId="49" fontId="15" fillId="13" borderId="0" xfId="0" applyNumberFormat="1" applyFont="1" applyFill="1" applyAlignment="1">
      <alignment horizontal="left"/>
    </xf>
    <xf numFmtId="0" fontId="1" fillId="15" borderId="2" xfId="8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1" fontId="6" fillId="6" borderId="2" xfId="0" applyNumberFormat="1" applyFont="1" applyFill="1" applyBorder="1" applyProtection="1"/>
    <xf numFmtId="0" fontId="0" fillId="0" borderId="2" xfId="0" applyBorder="1" applyAlignment="1">
      <alignment horizontal="left" vertical="top"/>
    </xf>
    <xf numFmtId="0" fontId="1" fillId="15" borderId="2" xfId="8" applyBorder="1"/>
    <xf numFmtId="0" fontId="0" fillId="15" borderId="2" xfId="8" applyFont="1" applyBorder="1"/>
    <xf numFmtId="0" fontId="1" fillId="16" borderId="2" xfId="8" applyFill="1" applyBorder="1"/>
    <xf numFmtId="0" fontId="0" fillId="10" borderId="0" xfId="0" applyFill="1" applyBorder="1"/>
    <xf numFmtId="17" fontId="0" fillId="10" borderId="0" xfId="0" applyNumberFormat="1" applyFill="1" applyBorder="1"/>
    <xf numFmtId="179" fontId="0" fillId="10" borderId="0" xfId="1" applyNumberFormat="1" applyFont="1" applyFill="1" applyBorder="1"/>
    <xf numFmtId="179" fontId="0" fillId="10" borderId="0" xfId="0" applyNumberFormat="1" applyFill="1" applyBorder="1"/>
    <xf numFmtId="171" fontId="3" fillId="4" borderId="17" xfId="2" applyNumberFormat="1" applyFont="1" applyFill="1" applyBorder="1" applyAlignment="1" applyProtection="1">
      <alignment horizontal="center"/>
    </xf>
    <xf numFmtId="171" fontId="3" fillId="4" borderId="19" xfId="2" applyNumberFormat="1" applyFont="1" applyFill="1" applyBorder="1" applyAlignment="1" applyProtection="1">
      <alignment horizontal="center"/>
    </xf>
    <xf numFmtId="10" fontId="3" fillId="4" borderId="21" xfId="0" applyNumberFormat="1" applyFont="1" applyFill="1" applyBorder="1" applyAlignment="1" applyProtection="1">
      <alignment horizontal="center"/>
    </xf>
    <xf numFmtId="0" fontId="2" fillId="3" borderId="33" xfId="1" applyNumberFormat="1" applyFont="1" applyFill="1" applyBorder="1" applyProtection="1"/>
    <xf numFmtId="165" fontId="3" fillId="3" borderId="0" xfId="1" applyNumberFormat="1" applyFont="1" applyFill="1" applyBorder="1" applyProtection="1"/>
    <xf numFmtId="165" fontId="3" fillId="3" borderId="44" xfId="1" applyNumberFormat="1" applyFont="1" applyFill="1" applyBorder="1" applyProtection="1"/>
    <xf numFmtId="165" fontId="2" fillId="3" borderId="45" xfId="1" applyNumberFormat="1" applyFont="1" applyFill="1" applyBorder="1" applyProtection="1"/>
    <xf numFmtId="0" fontId="0" fillId="0" borderId="0" xfId="0" applyBorder="1"/>
    <xf numFmtId="164" fontId="3" fillId="3" borderId="36" xfId="1" applyNumberFormat="1" applyFont="1" applyFill="1" applyBorder="1" applyProtection="1"/>
    <xf numFmtId="165" fontId="3" fillId="3" borderId="47" xfId="1" applyNumberFormat="1" applyFont="1" applyFill="1" applyBorder="1" applyProtection="1"/>
    <xf numFmtId="165" fontId="2" fillId="3" borderId="41" xfId="1" applyNumberFormat="1" applyFont="1" applyFill="1" applyBorder="1" applyProtection="1"/>
    <xf numFmtId="10" fontId="2" fillId="3" borderId="41" xfId="3" applyNumberFormat="1" applyFont="1" applyFill="1" applyBorder="1" applyProtection="1"/>
    <xf numFmtId="165" fontId="2" fillId="3" borderId="49" xfId="1" applyNumberFormat="1" applyFont="1" applyFill="1" applyBorder="1" applyProtection="1"/>
    <xf numFmtId="165" fontId="2" fillId="3" borderId="50" xfId="1" applyNumberFormat="1" applyFont="1" applyFill="1" applyBorder="1" applyProtection="1"/>
    <xf numFmtId="165" fontId="3" fillId="3" borderId="52" xfId="1" applyNumberFormat="1" applyFont="1" applyFill="1" applyBorder="1" applyProtection="1"/>
    <xf numFmtId="0" fontId="0" fillId="3" borderId="43" xfId="0" applyFill="1" applyBorder="1"/>
    <xf numFmtId="0" fontId="0" fillId="3" borderId="0" xfId="0" applyFill="1" applyBorder="1"/>
    <xf numFmtId="0" fontId="0" fillId="3" borderId="51" xfId="0" applyFill="1" applyBorder="1"/>
    <xf numFmtId="0" fontId="0" fillId="3" borderId="52" xfId="0" applyFill="1" applyBorder="1"/>
    <xf numFmtId="0" fontId="0" fillId="3" borderId="52" xfId="0" applyNumberFormat="1" applyFill="1" applyBorder="1"/>
    <xf numFmtId="0" fontId="0" fillId="15" borderId="2" xfId="8" applyFont="1" applyBorder="1" applyAlignment="1">
      <alignment horizontal="left" vertical="top"/>
    </xf>
    <xf numFmtId="9" fontId="9" fillId="17" borderId="0" xfId="3" applyFont="1" applyFill="1" applyBorder="1"/>
    <xf numFmtId="9" fontId="2" fillId="3" borderId="46" xfId="3" applyFont="1" applyFill="1" applyBorder="1" applyProtection="1">
      <protection locked="0"/>
    </xf>
    <xf numFmtId="9" fontId="2" fillId="3" borderId="48" xfId="3" applyFont="1" applyFill="1" applyBorder="1" applyProtection="1">
      <protection locked="0"/>
    </xf>
    <xf numFmtId="180" fontId="2" fillId="18" borderId="24" xfId="3" applyNumberFormat="1" applyFont="1" applyFill="1" applyBorder="1" applyProtection="1">
      <protection locked="0"/>
    </xf>
    <xf numFmtId="180" fontId="2" fillId="19" borderId="24" xfId="3" applyNumberFormat="1" applyFont="1" applyFill="1" applyBorder="1" applyProtection="1">
      <protection locked="0"/>
    </xf>
    <xf numFmtId="180" fontId="5" fillId="6" borderId="22" xfId="3" applyNumberFormat="1" applyFont="1" applyFill="1" applyBorder="1" applyProtection="1">
      <protection locked="0"/>
    </xf>
    <xf numFmtId="180" fontId="2" fillId="0" borderId="27" xfId="3" applyNumberFormat="1" applyFont="1" applyFill="1" applyBorder="1" applyProtection="1"/>
    <xf numFmtId="181" fontId="2" fillId="18" borderId="25" xfId="2" applyNumberFormat="1" applyFont="1" applyFill="1" applyBorder="1" applyProtection="1"/>
    <xf numFmtId="181" fontId="2" fillId="19" borderId="25" xfId="2" applyNumberFormat="1" applyFont="1" applyFill="1" applyBorder="1" applyProtection="1"/>
    <xf numFmtId="181" fontId="5" fillId="6" borderId="23" xfId="2" applyNumberFormat="1" applyFont="1" applyFill="1" applyBorder="1" applyProtection="1"/>
    <xf numFmtId="181" fontId="2" fillId="3" borderId="25" xfId="2" applyNumberFormat="1" applyFont="1" applyFill="1" applyBorder="1" applyProtection="1"/>
    <xf numFmtId="181" fontId="5" fillId="7" borderId="25" xfId="2" applyNumberFormat="1" applyFont="1" applyFill="1" applyBorder="1" applyProtection="1"/>
    <xf numFmtId="181" fontId="13" fillId="7" borderId="25" xfId="2" applyNumberFormat="1" applyFont="1" applyFill="1" applyBorder="1" applyProtection="1"/>
    <xf numFmtId="181" fontId="2" fillId="0" borderId="0" xfId="2" applyNumberFormat="1" applyFont="1" applyFill="1" applyProtection="1"/>
    <xf numFmtId="181" fontId="2" fillId="3" borderId="45" xfId="1" applyNumberFormat="1" applyFont="1" applyFill="1" applyBorder="1" applyProtection="1"/>
    <xf numFmtId="181" fontId="2" fillId="3" borderId="41" xfId="1" applyNumberFormat="1" applyFont="1" applyFill="1" applyBorder="1" applyProtection="1"/>
    <xf numFmtId="182" fontId="5" fillId="0" borderId="0" xfId="3" applyNumberFormat="1" applyFont="1" applyProtection="1"/>
    <xf numFmtId="182" fontId="2" fillId="0" borderId="0" xfId="3" applyNumberFormat="1" applyFont="1" applyProtection="1"/>
    <xf numFmtId="182" fontId="2" fillId="0" borderId="0" xfId="1" applyNumberFormat="1" applyFont="1" applyProtection="1"/>
    <xf numFmtId="182" fontId="5" fillId="6" borderId="22" xfId="3" applyNumberFormat="1" applyFont="1" applyFill="1" applyBorder="1" applyProtection="1">
      <protection locked="0"/>
    </xf>
    <xf numFmtId="182" fontId="2" fillId="2" borderId="24" xfId="3" applyNumberFormat="1" applyFont="1" applyFill="1" applyBorder="1" applyProtection="1">
      <protection locked="0"/>
    </xf>
    <xf numFmtId="182" fontId="2" fillId="5" borderId="24" xfId="3" applyNumberFormat="1" applyFont="1" applyFill="1" applyBorder="1" applyProtection="1">
      <protection locked="0"/>
    </xf>
    <xf numFmtId="182" fontId="5" fillId="7" borderId="24" xfId="3" applyNumberFormat="1" applyFont="1" applyFill="1" applyBorder="1" applyProtection="1">
      <protection locked="0"/>
    </xf>
    <xf numFmtId="182" fontId="13" fillId="7" borderId="24" xfId="3" applyNumberFormat="1" applyFont="1" applyFill="1" applyBorder="1" applyProtection="1">
      <protection locked="0"/>
    </xf>
    <xf numFmtId="182" fontId="2" fillId="0" borderId="0" xfId="1" applyNumberFormat="1" applyFont="1" applyFill="1" applyProtection="1">
      <protection locked="0"/>
    </xf>
    <xf numFmtId="182" fontId="2" fillId="3" borderId="34" xfId="1" applyNumberFormat="1" applyFont="1" applyFill="1" applyBorder="1" applyProtection="1">
      <protection locked="0"/>
    </xf>
    <xf numFmtId="182" fontId="2" fillId="3" borderId="26" xfId="1" applyNumberFormat="1" applyFont="1" applyFill="1" applyBorder="1" applyProtection="1">
      <protection locked="0"/>
    </xf>
    <xf numFmtId="182" fontId="2" fillId="0" borderId="29" xfId="1" applyNumberFormat="1" applyFont="1" applyFill="1" applyBorder="1" applyProtection="1">
      <protection locked="0"/>
    </xf>
    <xf numFmtId="182" fontId="2" fillId="3" borderId="39" xfId="1" applyNumberFormat="1" applyFont="1" applyFill="1" applyBorder="1" applyProtection="1">
      <protection locked="0"/>
    </xf>
    <xf numFmtId="182" fontId="2" fillId="0" borderId="0" xfId="1" applyNumberFormat="1" applyFont="1" applyBorder="1" applyProtection="1"/>
    <xf numFmtId="182" fontId="0" fillId="10" borderId="15" xfId="1" applyNumberFormat="1" applyFont="1" applyFill="1" applyBorder="1"/>
    <xf numFmtId="182" fontId="0" fillId="10" borderId="0" xfId="1" applyNumberFormat="1" applyFont="1" applyFill="1" applyBorder="1"/>
    <xf numFmtId="182" fontId="0" fillId="10" borderId="41" xfId="1" applyNumberFormat="1" applyFont="1" applyFill="1" applyBorder="1"/>
    <xf numFmtId="182" fontId="5" fillId="9" borderId="0" xfId="1" applyNumberFormat="1" applyFont="1" applyFill="1" applyProtection="1"/>
    <xf numFmtId="182" fontId="5" fillId="9" borderId="0" xfId="3" applyNumberFormat="1" applyFont="1" applyFill="1" applyProtection="1"/>
    <xf numFmtId="182" fontId="0" fillId="0" borderId="0" xfId="0" applyNumberFormat="1"/>
    <xf numFmtId="0" fontId="11" fillId="12" borderId="2" xfId="0" applyFont="1" applyFill="1" applyBorder="1" applyProtection="1"/>
    <xf numFmtId="165" fontId="3" fillId="12" borderId="2" xfId="1" applyNumberFormat="1" applyFont="1" applyFill="1" applyBorder="1" applyProtection="1"/>
    <xf numFmtId="0" fontId="0" fillId="0" borderId="2" xfId="0" applyBorder="1" applyProtection="1"/>
    <xf numFmtId="0" fontId="11" fillId="12" borderId="2" xfId="0" applyFont="1" applyFill="1" applyBorder="1" applyAlignment="1" applyProtection="1">
      <alignment wrapText="1"/>
    </xf>
    <xf numFmtId="166" fontId="3" fillId="12" borderId="2" xfId="1" applyNumberFormat="1" applyFont="1" applyFill="1" applyBorder="1" applyAlignment="1" applyProtection="1">
      <alignment wrapText="1"/>
    </xf>
    <xf numFmtId="14" fontId="0" fillId="0" borderId="2" xfId="0" applyNumberFormat="1" applyBorder="1" applyProtection="1"/>
    <xf numFmtId="165" fontId="3" fillId="0" borderId="2" xfId="1" applyNumberFormat="1" applyFont="1" applyBorder="1" applyProtection="1"/>
    <xf numFmtId="172" fontId="9" fillId="8" borderId="2" xfId="7" applyNumberFormat="1" applyBorder="1" applyAlignment="1" applyProtection="1">
      <alignment horizontal="center"/>
    </xf>
    <xf numFmtId="0" fontId="0" fillId="0" borderId="0" xfId="0" applyProtection="1"/>
    <xf numFmtId="49" fontId="2" fillId="2" borderId="4" xfId="1" applyNumberFormat="1" applyFont="1" applyFill="1" applyBorder="1" applyAlignment="1" applyProtection="1">
      <alignment vertical="center" shrinkToFit="1"/>
      <protection locked="0"/>
    </xf>
    <xf numFmtId="182" fontId="2" fillId="2" borderId="15" xfId="1" applyNumberFormat="1" applyFont="1" applyFill="1" applyBorder="1" applyAlignment="1" applyProtection="1">
      <alignment vertical="center" shrinkToFit="1"/>
      <protection locked="0"/>
    </xf>
    <xf numFmtId="49" fontId="2" fillId="2" borderId="15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Protection="1">
      <protection locked="0"/>
    </xf>
    <xf numFmtId="166" fontId="2" fillId="0" borderId="0" xfId="1" applyNumberFormat="1" applyFont="1" applyProtection="1">
      <protection locked="0"/>
    </xf>
    <xf numFmtId="166" fontId="3" fillId="0" borderId="0" xfId="1" applyNumberFormat="1" applyFont="1" applyProtection="1">
      <protection locked="0"/>
    </xf>
    <xf numFmtId="166" fontId="2" fillId="0" borderId="0" xfId="2" applyNumberFormat="1" applyFont="1" applyFill="1" applyAlignment="1" applyProtection="1">
      <alignment horizontal="right"/>
      <protection locked="0"/>
    </xf>
    <xf numFmtId="182" fontId="2" fillId="0" borderId="27" xfId="3" applyNumberFormat="1" applyFont="1" applyFill="1" applyBorder="1" applyProtection="1">
      <protection locked="0"/>
    </xf>
    <xf numFmtId="177" fontId="2" fillId="0" borderId="28" xfId="2" applyNumberFormat="1" applyFont="1" applyFill="1" applyBorder="1" applyProtection="1">
      <protection locked="0"/>
    </xf>
    <xf numFmtId="164" fontId="3" fillId="4" borderId="5" xfId="0" applyNumberFormat="1" applyFont="1" applyFill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"/>
      <protection locked="0"/>
    </xf>
    <xf numFmtId="168" fontId="3" fillId="4" borderId="4" xfId="0" applyNumberFormat="1" applyFont="1" applyFill="1" applyBorder="1" applyAlignment="1" applyProtection="1">
      <protection locked="0"/>
    </xf>
    <xf numFmtId="164" fontId="3" fillId="4" borderId="11" xfId="0" applyNumberFormat="1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168" fontId="3" fillId="4" borderId="0" xfId="0" applyNumberFormat="1" applyFont="1" applyFill="1" applyBorder="1" applyAlignment="1" applyProtection="1">
      <alignment horizontal="center"/>
      <protection locked="0"/>
    </xf>
    <xf numFmtId="164" fontId="5" fillId="6" borderId="6" xfId="1" applyNumberFormat="1" applyFont="1" applyFill="1" applyBorder="1" applyProtection="1">
      <protection locked="0"/>
    </xf>
    <xf numFmtId="1" fontId="6" fillId="6" borderId="7" xfId="0" applyNumberFormat="1" applyFont="1" applyFill="1" applyBorder="1" applyProtection="1">
      <protection locked="0"/>
    </xf>
    <xf numFmtId="169" fontId="5" fillId="6" borderId="8" xfId="0" applyNumberFormat="1" applyFont="1" applyFill="1" applyBorder="1" applyProtection="1">
      <protection locked="0"/>
    </xf>
    <xf numFmtId="169" fontId="5" fillId="6" borderId="7" xfId="0" applyNumberFormat="1" applyFont="1" applyFill="1" applyBorder="1" applyProtection="1">
      <protection locked="0"/>
    </xf>
    <xf numFmtId="177" fontId="5" fillId="6" borderId="23" xfId="2" applyNumberFormat="1" applyFont="1" applyFill="1" applyBorder="1" applyProtection="1">
      <protection locked="0"/>
    </xf>
    <xf numFmtId="178" fontId="2" fillId="3" borderId="1" xfId="1" applyNumberFormat="1" applyFont="1" applyFill="1" applyBorder="1" applyProtection="1">
      <protection locked="0"/>
    </xf>
    <xf numFmtId="177" fontId="2" fillId="3" borderId="25" xfId="2" applyNumberFormat="1" applyFont="1" applyFill="1" applyBorder="1" applyProtection="1">
      <protection locked="0"/>
    </xf>
    <xf numFmtId="178" fontId="2" fillId="0" borderId="1" xfId="1" applyNumberFormat="1" applyFont="1" applyFill="1" applyBorder="1" applyProtection="1">
      <protection locked="0"/>
    </xf>
    <xf numFmtId="177" fontId="2" fillId="0" borderId="25" xfId="2" applyNumberFormat="1" applyFont="1" applyFill="1" applyBorder="1" applyProtection="1">
      <protection locked="0"/>
    </xf>
    <xf numFmtId="1" fontId="6" fillId="6" borderId="2" xfId="0" applyNumberFormat="1" applyFont="1" applyFill="1" applyBorder="1" applyProtection="1">
      <protection locked="0"/>
    </xf>
    <xf numFmtId="0" fontId="0" fillId="0" borderId="2" xfId="0" applyBorder="1" applyProtection="1">
      <protection locked="0"/>
    </xf>
    <xf numFmtId="0" fontId="1" fillId="15" borderId="2" xfId="8" applyBorder="1" applyProtection="1">
      <protection locked="0"/>
    </xf>
    <xf numFmtId="164" fontId="5" fillId="7" borderId="1" xfId="1" applyNumberFormat="1" applyFont="1" applyFill="1" applyBorder="1" applyProtection="1">
      <protection locked="0"/>
    </xf>
    <xf numFmtId="1" fontId="5" fillId="7" borderId="2" xfId="0" applyNumberFormat="1" applyFont="1" applyFill="1" applyBorder="1" applyProtection="1">
      <protection locked="0"/>
    </xf>
    <xf numFmtId="178" fontId="5" fillId="7" borderId="9" xfId="0" applyNumberFormat="1" applyFont="1" applyFill="1" applyBorder="1" applyProtection="1">
      <protection locked="0"/>
    </xf>
    <xf numFmtId="178" fontId="5" fillId="7" borderId="2" xfId="0" applyNumberFormat="1" applyFont="1" applyFill="1" applyBorder="1" applyProtection="1">
      <protection locked="0"/>
    </xf>
    <xf numFmtId="177" fontId="5" fillId="7" borderId="25" xfId="2" applyNumberFormat="1" applyFont="1" applyFill="1" applyBorder="1" applyProtection="1">
      <protection locked="0"/>
    </xf>
    <xf numFmtId="164" fontId="13" fillId="7" borderId="1" xfId="1" applyNumberFormat="1" applyFont="1" applyFill="1" applyBorder="1" applyProtection="1">
      <protection locked="0"/>
    </xf>
    <xf numFmtId="1" fontId="13" fillId="7" borderId="2" xfId="0" applyNumberFormat="1" applyFont="1" applyFill="1" applyBorder="1" applyProtection="1">
      <protection locked="0"/>
    </xf>
    <xf numFmtId="178" fontId="13" fillId="7" borderId="9" xfId="0" applyNumberFormat="1" applyFont="1" applyFill="1" applyBorder="1" applyProtection="1">
      <protection locked="0"/>
    </xf>
    <xf numFmtId="178" fontId="13" fillId="7" borderId="2" xfId="0" applyNumberFormat="1" applyFont="1" applyFill="1" applyBorder="1" applyProtection="1">
      <protection locked="0"/>
    </xf>
    <xf numFmtId="177" fontId="13" fillId="7" borderId="25" xfId="2" applyNumberFormat="1" applyFont="1" applyFill="1" applyBorder="1" applyProtection="1">
      <protection locked="0"/>
    </xf>
    <xf numFmtId="0" fontId="14" fillId="0" borderId="0" xfId="0" applyFont="1" applyProtection="1">
      <protection locked="0"/>
    </xf>
    <xf numFmtId="164" fontId="2" fillId="0" borderId="0" xfId="1" applyNumberFormat="1" applyFont="1" applyFill="1" applyProtection="1">
      <protection locked="0"/>
    </xf>
    <xf numFmtId="165" fontId="0" fillId="0" borderId="0" xfId="1" applyNumberFormat="1" applyFont="1" applyFill="1" applyProtection="1">
      <protection locked="0"/>
    </xf>
    <xf numFmtId="3" fontId="2" fillId="0" borderId="0" xfId="1" applyNumberFormat="1" applyFont="1" applyFill="1" applyProtection="1">
      <protection locked="0"/>
    </xf>
    <xf numFmtId="177" fontId="2" fillId="0" borderId="0" xfId="2" applyNumberFormat="1" applyFont="1" applyFill="1" applyProtection="1">
      <protection locked="0"/>
    </xf>
    <xf numFmtId="164" fontId="3" fillId="3" borderId="31" xfId="1" applyNumberFormat="1" applyFont="1" applyFill="1" applyBorder="1" applyProtection="1">
      <protection locked="0"/>
    </xf>
    <xf numFmtId="165" fontId="3" fillId="3" borderId="32" xfId="1" applyNumberFormat="1" applyFont="1" applyFill="1" applyBorder="1" applyProtection="1">
      <protection locked="0"/>
    </xf>
    <xf numFmtId="165" fontId="2" fillId="3" borderId="33" xfId="1" applyNumberFormat="1" applyFont="1" applyFill="1" applyBorder="1" applyProtection="1">
      <protection locked="0"/>
    </xf>
    <xf numFmtId="177" fontId="2" fillId="3" borderId="35" xfId="2" applyNumberFormat="1" applyFont="1" applyFill="1" applyBorder="1" applyProtection="1">
      <protection locked="0"/>
    </xf>
    <xf numFmtId="164" fontId="2" fillId="3" borderId="36" xfId="1" applyNumberFormat="1" applyFont="1" applyFill="1" applyBorder="1" applyProtection="1">
      <protection locked="0"/>
    </xf>
    <xf numFmtId="165" fontId="3" fillId="3" borderId="3" xfId="1" applyNumberFormat="1" applyFont="1" applyFill="1" applyBorder="1" applyProtection="1">
      <protection locked="0"/>
    </xf>
    <xf numFmtId="165" fontId="2" fillId="3" borderId="4" xfId="1" applyNumberFormat="1" applyFont="1" applyFill="1" applyBorder="1" applyProtection="1">
      <protection locked="0"/>
    </xf>
    <xf numFmtId="177" fontId="2" fillId="3" borderId="13" xfId="2" applyNumberFormat="1" applyFont="1" applyFill="1" applyBorder="1" applyProtection="1">
      <protection locked="0"/>
    </xf>
    <xf numFmtId="165" fontId="3" fillId="0" borderId="4" xfId="1" applyNumberFormat="1" applyFont="1" applyFill="1" applyBorder="1" applyProtection="1">
      <protection locked="0"/>
    </xf>
    <xf numFmtId="165" fontId="2" fillId="0" borderId="4" xfId="1" applyNumberFormat="1" applyFont="1" applyFill="1" applyBorder="1" applyProtection="1">
      <protection locked="0"/>
    </xf>
    <xf numFmtId="164" fontId="2" fillId="3" borderId="37" xfId="1" applyNumberFormat="1" applyFont="1" applyFill="1" applyBorder="1" applyProtection="1">
      <protection locked="0"/>
    </xf>
    <xf numFmtId="165" fontId="3" fillId="3" borderId="38" xfId="1" applyNumberFormat="1" applyFont="1" applyFill="1" applyBorder="1" applyProtection="1">
      <protection locked="0"/>
    </xf>
    <xf numFmtId="165" fontId="2" fillId="3" borderId="38" xfId="1" applyNumberFormat="1" applyFont="1" applyFill="1" applyBorder="1" applyProtection="1">
      <protection locked="0"/>
    </xf>
    <xf numFmtId="177" fontId="2" fillId="3" borderId="40" xfId="2" applyNumberFormat="1" applyFont="1" applyFill="1" applyBorder="1" applyProtection="1">
      <protection locked="0"/>
    </xf>
    <xf numFmtId="164" fontId="2" fillId="0" borderId="0" xfId="1" applyNumberFormat="1" applyFont="1" applyBorder="1" applyProtection="1">
      <protection locked="0"/>
    </xf>
    <xf numFmtId="165" fontId="3" fillId="0" borderId="0" xfId="1" applyNumberFormat="1" applyFont="1" applyBorder="1" applyProtection="1">
      <protection locked="0"/>
    </xf>
    <xf numFmtId="165" fontId="2" fillId="0" borderId="0" xfId="1" applyNumberFormat="1" applyFont="1" applyBorder="1" applyProtection="1">
      <protection locked="0"/>
    </xf>
    <xf numFmtId="182" fontId="2" fillId="0" borderId="0" xfId="1" applyNumberFormat="1" applyFont="1" applyBorder="1" applyProtection="1">
      <protection locked="0"/>
    </xf>
    <xf numFmtId="167" fontId="2" fillId="0" borderId="0" xfId="2" applyNumberFormat="1" applyFont="1" applyBorder="1" applyProtection="1">
      <protection locked="0"/>
    </xf>
    <xf numFmtId="182" fontId="5" fillId="20" borderId="22" xfId="3" applyNumberFormat="1" applyFont="1" applyFill="1" applyBorder="1" applyProtection="1">
      <protection locked="0"/>
    </xf>
    <xf numFmtId="177" fontId="5" fillId="20" borderId="23" xfId="2" applyNumberFormat="1" applyFont="1" applyFill="1" applyBorder="1" applyProtection="1">
      <protection locked="0"/>
    </xf>
    <xf numFmtId="182" fontId="2" fillId="21" borderId="24" xfId="3" applyNumberFormat="1" applyFont="1" applyFill="1" applyBorder="1" applyProtection="1">
      <protection locked="0"/>
    </xf>
    <xf numFmtId="177" fontId="2" fillId="19" borderId="25" xfId="2" applyNumberFormat="1" applyFont="1" applyFill="1" applyBorder="1" applyProtection="1">
      <protection locked="0"/>
    </xf>
    <xf numFmtId="182" fontId="2" fillId="22" borderId="24" xfId="3" applyNumberFormat="1" applyFont="1" applyFill="1" applyBorder="1" applyProtection="1">
      <protection locked="0"/>
    </xf>
    <xf numFmtId="177" fontId="2" fillId="18" borderId="25" xfId="2" applyNumberFormat="1" applyFont="1" applyFill="1" applyBorder="1" applyProtection="1">
      <protection locked="0"/>
    </xf>
    <xf numFmtId="182" fontId="2" fillId="18" borderId="34" xfId="1" applyNumberFormat="1" applyFont="1" applyFill="1" applyBorder="1" applyProtection="1">
      <protection locked="0"/>
    </xf>
    <xf numFmtId="177" fontId="2" fillId="18" borderId="35" xfId="2" applyNumberFormat="1" applyFont="1" applyFill="1" applyBorder="1" applyProtection="1">
      <protection locked="0"/>
    </xf>
    <xf numFmtId="182" fontId="2" fillId="18" borderId="26" xfId="1" applyNumberFormat="1" applyFont="1" applyFill="1" applyBorder="1" applyProtection="1">
      <protection locked="0"/>
    </xf>
    <xf numFmtId="177" fontId="2" fillId="18" borderId="13" xfId="2" applyNumberFormat="1" applyFont="1" applyFill="1" applyBorder="1" applyProtection="1">
      <protection locked="0"/>
    </xf>
    <xf numFmtId="182" fontId="2" fillId="19" borderId="29" xfId="1" applyNumberFormat="1" applyFont="1" applyFill="1" applyBorder="1" applyProtection="1">
      <protection locked="0"/>
    </xf>
    <xf numFmtId="177" fontId="2" fillId="23" borderId="30" xfId="2" applyNumberFormat="1" applyFont="1" applyFill="1" applyBorder="1" applyProtection="1">
      <protection locked="0"/>
    </xf>
    <xf numFmtId="182" fontId="2" fillId="18" borderId="39" xfId="1" applyNumberFormat="1" applyFont="1" applyFill="1" applyBorder="1" applyProtection="1">
      <protection locked="0"/>
    </xf>
    <xf numFmtId="177" fontId="2" fillId="18" borderId="40" xfId="2" applyNumberFormat="1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44" fontId="0" fillId="0" borderId="0" xfId="2" applyFont="1"/>
    <xf numFmtId="10" fontId="0" fillId="0" borderId="0" xfId="3" applyNumberFormat="1" applyFont="1"/>
    <xf numFmtId="44" fontId="0" fillId="0" borderId="0" xfId="0" applyNumberFormat="1"/>
    <xf numFmtId="183" fontId="2" fillId="21" borderId="24" xfId="3" applyNumberFormat="1" applyFont="1" applyFill="1" applyBorder="1" applyProtection="1">
      <protection locked="0"/>
    </xf>
    <xf numFmtId="184" fontId="18" fillId="13" borderId="0" xfId="0" applyNumberFormat="1" applyFont="1" applyFill="1" applyAlignment="1">
      <alignment horizontal="left"/>
    </xf>
    <xf numFmtId="49" fontId="18" fillId="13" borderId="0" xfId="0" applyNumberFormat="1" applyFont="1" applyFill="1" applyAlignment="1">
      <alignment horizontal="left"/>
    </xf>
    <xf numFmtId="0" fontId="18" fillId="13" borderId="0" xfId="0" applyFont="1" applyFill="1" applyAlignment="1">
      <alignment horizontal="left"/>
    </xf>
    <xf numFmtId="0" fontId="17" fillId="13" borderId="0" xfId="0" applyFont="1" applyFill="1" applyAlignment="1">
      <alignment horizontal="left"/>
    </xf>
    <xf numFmtId="49" fontId="19" fillId="13" borderId="0" xfId="0" applyNumberFormat="1" applyFont="1" applyFill="1" applyAlignment="1">
      <alignment horizontal="left"/>
    </xf>
    <xf numFmtId="185" fontId="19" fillId="13" borderId="0" xfId="0" applyNumberFormat="1" applyFont="1" applyFill="1" applyAlignment="1">
      <alignment horizontal="left"/>
    </xf>
    <xf numFmtId="185" fontId="20" fillId="13" borderId="0" xfId="0" applyNumberFormat="1" applyFont="1" applyFill="1" applyAlignment="1">
      <alignment horizontal="left"/>
    </xf>
    <xf numFmtId="0" fontId="20" fillId="13" borderId="0" xfId="0" applyFont="1" applyFill="1" applyAlignment="1">
      <alignment horizontal="right"/>
    </xf>
    <xf numFmtId="0" fontId="19" fillId="13" borderId="0" xfId="0" applyFont="1" applyFill="1" applyAlignment="1">
      <alignment horizontal="right"/>
    </xf>
    <xf numFmtId="184" fontId="19" fillId="13" borderId="0" xfId="0" applyNumberFormat="1" applyFont="1" applyFill="1" applyAlignment="1">
      <alignment horizontal="left"/>
    </xf>
    <xf numFmtId="0" fontId="19" fillId="13" borderId="0" xfId="0" applyFont="1" applyFill="1" applyAlignment="1">
      <alignment horizontal="left"/>
    </xf>
    <xf numFmtId="185" fontId="19" fillId="14" borderId="0" xfId="0" applyNumberFormat="1" applyFont="1" applyFill="1" applyAlignment="1">
      <alignment horizontal="left"/>
    </xf>
    <xf numFmtId="49" fontId="19" fillId="14" borderId="0" xfId="0" applyNumberFormat="1" applyFont="1" applyFill="1" applyAlignment="1">
      <alignment horizontal="left"/>
    </xf>
    <xf numFmtId="0" fontId="19" fillId="14" borderId="0" xfId="0" applyFont="1" applyFill="1" applyAlignment="1">
      <alignment horizontal="left"/>
    </xf>
    <xf numFmtId="0" fontId="19" fillId="14" borderId="0" xfId="0" applyFont="1" applyFill="1" applyAlignment="1">
      <alignment horizontal="right"/>
    </xf>
    <xf numFmtId="0" fontId="19" fillId="13" borderId="0" xfId="0" applyFont="1" applyFill="1" applyAlignment="1">
      <alignment horizontal="left" wrapText="1"/>
    </xf>
    <xf numFmtId="10" fontId="3" fillId="4" borderId="20" xfId="0" applyNumberFormat="1" applyFont="1" applyFill="1" applyBorder="1" applyAlignment="1" applyProtection="1">
      <alignment horizontal="center"/>
      <protection locked="0"/>
    </xf>
    <xf numFmtId="10" fontId="3" fillId="4" borderId="21" xfId="0" applyNumberFormat="1" applyFont="1" applyFill="1" applyBorder="1" applyAlignment="1" applyProtection="1">
      <alignment horizontal="center"/>
      <protection locked="0"/>
    </xf>
    <xf numFmtId="171" fontId="3" fillId="4" borderId="18" xfId="2" applyNumberFormat="1" applyFont="1" applyFill="1" applyBorder="1" applyAlignment="1" applyProtection="1">
      <alignment horizontal="center"/>
      <protection locked="0"/>
    </xf>
    <xf numFmtId="171" fontId="3" fillId="4" borderId="19" xfId="2" applyNumberFormat="1" applyFont="1" applyFill="1" applyBorder="1" applyAlignment="1" applyProtection="1">
      <alignment horizontal="center"/>
      <protection locked="0"/>
    </xf>
    <xf numFmtId="171" fontId="3" fillId="4" borderId="16" xfId="2" applyNumberFormat="1" applyFont="1" applyFill="1" applyBorder="1" applyAlignment="1" applyProtection="1">
      <alignment horizontal="center"/>
      <protection locked="0"/>
    </xf>
    <xf numFmtId="171" fontId="3" fillId="4" borderId="17" xfId="2" applyNumberFormat="1" applyFont="1" applyFill="1" applyBorder="1" applyAlignment="1" applyProtection="1">
      <alignment horizontal="center"/>
      <protection locked="0"/>
    </xf>
    <xf numFmtId="171" fontId="3" fillId="4" borderId="16" xfId="2" applyNumberFormat="1" applyFont="1" applyFill="1" applyBorder="1" applyAlignment="1" applyProtection="1">
      <alignment horizontal="center"/>
    </xf>
    <xf numFmtId="171" fontId="3" fillId="4" borderId="17" xfId="2" applyNumberFormat="1" applyFont="1" applyFill="1" applyBorder="1" applyAlignment="1" applyProtection="1">
      <alignment horizontal="center"/>
    </xf>
    <xf numFmtId="10" fontId="3" fillId="4" borderId="20" xfId="0" applyNumberFormat="1" applyFont="1" applyFill="1" applyBorder="1" applyAlignment="1" applyProtection="1">
      <alignment horizontal="center"/>
    </xf>
    <xf numFmtId="10" fontId="3" fillId="4" borderId="21" xfId="0" applyNumberFormat="1" applyFont="1" applyFill="1" applyBorder="1" applyAlignment="1" applyProtection="1">
      <alignment horizontal="center"/>
    </xf>
    <xf numFmtId="171" fontId="3" fillId="4" borderId="18" xfId="2" applyNumberFormat="1" applyFont="1" applyFill="1" applyBorder="1" applyAlignment="1" applyProtection="1">
      <alignment horizontal="center"/>
    </xf>
    <xf numFmtId="171" fontId="3" fillId="4" borderId="19" xfId="2" applyNumberFormat="1" applyFont="1" applyFill="1" applyBorder="1" applyAlignment="1" applyProtection="1">
      <alignment horizontal="center"/>
    </xf>
  </cellXfs>
  <cellStyles count="10">
    <cellStyle name="20% - Accent3" xfId="8" builtinId="38"/>
    <cellStyle name="Accent6" xfId="7" builtinId="49"/>
    <cellStyle name="Comma" xfId="1" builtinId="3"/>
    <cellStyle name="Crystal Report Data" xfId="5" xr:uid="{00000000-0005-0000-0000-000003000000}"/>
    <cellStyle name="Crystal Report Field" xfId="4" xr:uid="{00000000-0005-0000-0000-000004000000}"/>
    <cellStyle name="Currency" xfId="2" builtinId="4"/>
    <cellStyle name="Normal" xfId="0" builtinId="0"/>
    <cellStyle name="Normal 2" xfId="6" xr:uid="{00000000-0005-0000-0000-000007000000}"/>
    <cellStyle name="Normal 3" xfId="9" xr:uid="{2CA2F7AB-A4BC-4776-9150-E3F0B61BE8D7}"/>
    <cellStyle name="Per cent" xfId="3" builtinId="5"/>
  </cellStyles>
  <dxfs count="0"/>
  <tableStyles count="0" defaultTableStyle="TableStyleMedium9" defaultPivotStyle="PivotStyleLight16"/>
  <colors>
    <mruColors>
      <color rgb="FF66FFFF"/>
      <color rgb="FFFFFFCC"/>
      <color rgb="FFFFFF99"/>
      <color rgb="FFFF860D"/>
      <color rgb="FFFFFF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2050948107966021E-2"/>
          <c:y val="4.2573771935625532E-2"/>
          <c:w val="0.91739763182106027"/>
          <c:h val="0.86764097724025047"/>
        </c:manualLayout>
      </c:layout>
      <c:lineChart>
        <c:grouping val="standard"/>
        <c:varyColors val="0"/>
        <c:ser>
          <c:idx val="2"/>
          <c:order val="0"/>
          <c:tx>
            <c:strRef>
              <c:f>Charts!$C$5</c:f>
              <c:strCache>
                <c:ptCount val="1"/>
                <c:pt idx="0">
                  <c:v>Sep-18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Charts!$D$5:$AA$5</c:f>
              <c:numCache>
                <c:formatCode>_(* #,##0_);_(* \(#,##0\);_(* "-"??_);_(@_)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06-4EC2-B017-E837FB31A04D}"/>
            </c:ext>
          </c:extLst>
        </c:ser>
        <c:ser>
          <c:idx val="3"/>
          <c:order val="1"/>
          <c:tx>
            <c:strRef>
              <c:f>Charts!$C$6</c:f>
              <c:strCache>
                <c:ptCount val="1"/>
                <c:pt idx="0">
                  <c:v>Oct-18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Charts!$D$6:$AA$6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06-4EC2-B017-E837FB31A04D}"/>
            </c:ext>
          </c:extLst>
        </c:ser>
        <c:ser>
          <c:idx val="4"/>
          <c:order val="2"/>
          <c:tx>
            <c:strRef>
              <c:f>Charts!$C$7</c:f>
              <c:strCache>
                <c:ptCount val="1"/>
                <c:pt idx="0">
                  <c:v>Nov-18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Charts!$D$7:$AA$7</c:f>
              <c:numCache>
                <c:formatCode>_(* #,##0_);_(* \(#,##0\);_(* "-"??_);_(@_)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06-4EC2-B017-E837FB31A04D}"/>
            </c:ext>
          </c:extLst>
        </c:ser>
        <c:ser>
          <c:idx val="5"/>
          <c:order val="3"/>
          <c:tx>
            <c:strRef>
              <c:f>Charts!$C$8</c:f>
              <c:strCache>
                <c:ptCount val="1"/>
                <c:pt idx="0">
                  <c:v>Dec-18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Charts!$D$8:$AA$8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06-4EC2-B017-E837FB31A04D}"/>
            </c:ext>
          </c:extLst>
        </c:ser>
        <c:ser>
          <c:idx val="6"/>
          <c:order val="4"/>
          <c:tx>
            <c:strRef>
              <c:f>Charts!$C$9</c:f>
              <c:strCache>
                <c:ptCount val="1"/>
                <c:pt idx="0">
                  <c:v>Jan-19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Charts!$D$9:$AA$9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06-4EC2-B017-E837FB31A04D}"/>
            </c:ext>
          </c:extLst>
        </c:ser>
        <c:ser>
          <c:idx val="7"/>
          <c:order val="5"/>
          <c:tx>
            <c:strRef>
              <c:f>Charts!$C$10</c:f>
              <c:strCache>
                <c:ptCount val="1"/>
                <c:pt idx="0">
                  <c:v>Feb-19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Charts!$D$10:$AA$10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C06-4EC2-B017-E837FB31A04D}"/>
            </c:ext>
          </c:extLst>
        </c:ser>
        <c:ser>
          <c:idx val="8"/>
          <c:order val="6"/>
          <c:tx>
            <c:strRef>
              <c:f>Charts!$C$11</c:f>
              <c:strCache>
                <c:ptCount val="1"/>
                <c:pt idx="0">
                  <c:v>Mar-19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Charts!$D$11:$AA$11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C06-4EC2-B017-E837FB31A04D}"/>
            </c:ext>
          </c:extLst>
        </c:ser>
        <c:ser>
          <c:idx val="9"/>
          <c:order val="7"/>
          <c:tx>
            <c:strRef>
              <c:f>Charts!$C$12</c:f>
              <c:strCache>
                <c:ptCount val="1"/>
                <c:pt idx="0">
                  <c:v>Apr-19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Charts!$D$12:$AA$12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C06-4EC2-B017-E837FB31A04D}"/>
            </c:ext>
          </c:extLst>
        </c:ser>
        <c:ser>
          <c:idx val="10"/>
          <c:order val="8"/>
          <c:tx>
            <c:strRef>
              <c:f>Charts!$C$13</c:f>
              <c:strCache>
                <c:ptCount val="1"/>
                <c:pt idx="0">
                  <c:v>May-19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Charts!$D$13:$AA$13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C06-4EC2-B017-E837FB31A04D}"/>
            </c:ext>
          </c:extLst>
        </c:ser>
        <c:ser>
          <c:idx val="11"/>
          <c:order val="9"/>
          <c:tx>
            <c:strRef>
              <c:f>Charts!$C$14</c:f>
              <c:strCache>
                <c:ptCount val="1"/>
                <c:pt idx="0">
                  <c:v>Jun-19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Charts!$D$14:$AA$14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C06-4EC2-B017-E837FB31A04D}"/>
            </c:ext>
          </c:extLst>
        </c:ser>
        <c:ser>
          <c:idx val="12"/>
          <c:order val="10"/>
          <c:tx>
            <c:strRef>
              <c:f>Charts!$C$15</c:f>
              <c:strCache>
                <c:ptCount val="1"/>
                <c:pt idx="0">
                  <c:v>Jul-19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Charts!$D$15:$AA$15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C06-4EC2-B017-E837FB31A04D}"/>
            </c:ext>
          </c:extLst>
        </c:ser>
        <c:ser>
          <c:idx val="13"/>
          <c:order val="11"/>
          <c:tx>
            <c:strRef>
              <c:f>Charts!$C$16</c:f>
              <c:strCache>
                <c:ptCount val="1"/>
                <c:pt idx="0">
                  <c:v>Aug-19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Charts!$D$16:$AA$16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5C06-4EC2-B017-E837FB31A04D}"/>
            </c:ext>
          </c:extLst>
        </c:ser>
        <c:ser>
          <c:idx val="14"/>
          <c:order val="12"/>
          <c:tx>
            <c:strRef>
              <c:f>Charts!$C$17</c:f>
              <c:strCache>
                <c:ptCount val="1"/>
                <c:pt idx="0">
                  <c:v>Sep-19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Charts!$D$17:$AA$17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5C06-4EC2-B017-E837FB31A04D}"/>
            </c:ext>
          </c:extLst>
        </c:ser>
        <c:ser>
          <c:idx val="15"/>
          <c:order val="13"/>
          <c:tx>
            <c:strRef>
              <c:f>Charts!$C$18</c:f>
              <c:strCache>
                <c:ptCount val="1"/>
                <c:pt idx="0">
                  <c:v>Oct-19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Charts!$D$18:$AA$18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C06-4EC2-B017-E837FB31A04D}"/>
            </c:ext>
          </c:extLst>
        </c:ser>
        <c:ser>
          <c:idx val="16"/>
          <c:order val="14"/>
          <c:tx>
            <c:strRef>
              <c:f>Charts!$C$19</c:f>
              <c:strCache>
                <c:ptCount val="1"/>
                <c:pt idx="0">
                  <c:v>Nov-19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Charts!$D$19:$AA$19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5C06-4EC2-B017-E837FB31A04D}"/>
            </c:ext>
          </c:extLst>
        </c:ser>
        <c:ser>
          <c:idx val="17"/>
          <c:order val="15"/>
          <c:tx>
            <c:strRef>
              <c:f>Charts!$C$20</c:f>
              <c:strCache>
                <c:ptCount val="1"/>
                <c:pt idx="0">
                  <c:v>Dec-19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Charts!$D$20:$AA$20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5C06-4EC2-B017-E837FB31A04D}"/>
            </c:ext>
          </c:extLst>
        </c:ser>
        <c:ser>
          <c:idx val="0"/>
          <c:order val="16"/>
          <c:tx>
            <c:strRef>
              <c:f>Charts!$C$21</c:f>
              <c:strCache>
                <c:ptCount val="1"/>
                <c:pt idx="0">
                  <c:v>Jan-20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Charts!$D$21:$AA$21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5C06-4EC2-B017-E837FB31A04D}"/>
            </c:ext>
          </c:extLst>
        </c:ser>
        <c:ser>
          <c:idx val="1"/>
          <c:order val="17"/>
          <c:tx>
            <c:strRef>
              <c:f>Charts!$C$22</c:f>
              <c:strCache>
                <c:ptCount val="1"/>
                <c:pt idx="0">
                  <c:v>Feb-20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Charts!$D$22:$AA$22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5C06-4EC2-B017-E837FB31A04D}"/>
            </c:ext>
          </c:extLst>
        </c:ser>
        <c:ser>
          <c:idx val="18"/>
          <c:order val="18"/>
          <c:tx>
            <c:strRef>
              <c:f>Charts!$C$23</c:f>
              <c:strCache>
                <c:ptCount val="1"/>
                <c:pt idx="0">
                  <c:v>Mar-20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Charts!$D$23:$AA$23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5C06-4EC2-B017-E837FB31A04D}"/>
            </c:ext>
          </c:extLst>
        </c:ser>
        <c:ser>
          <c:idx val="19"/>
          <c:order val="19"/>
          <c:tx>
            <c:strRef>
              <c:f>Charts!$C$24</c:f>
              <c:strCache>
                <c:ptCount val="1"/>
                <c:pt idx="0">
                  <c:v>Apr-20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Charts!$D$24:$AA$24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5C06-4EC2-B017-E837FB31A04D}"/>
            </c:ext>
          </c:extLst>
        </c:ser>
        <c:ser>
          <c:idx val="20"/>
          <c:order val="20"/>
          <c:tx>
            <c:strRef>
              <c:f>Charts!$C$25</c:f>
              <c:strCache>
                <c:ptCount val="1"/>
                <c:pt idx="0">
                  <c:v>May-20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Charts!$D$25:$AA$25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5C06-4EC2-B017-E837FB31A04D}"/>
            </c:ext>
          </c:extLst>
        </c:ser>
        <c:ser>
          <c:idx val="21"/>
          <c:order val="21"/>
          <c:tx>
            <c:strRef>
              <c:f>Charts!$C$26</c:f>
              <c:strCache>
                <c:ptCount val="1"/>
                <c:pt idx="0">
                  <c:v>Jun-20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Charts!$D$26:$AA$26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5C06-4EC2-B017-E837FB31A04D}"/>
            </c:ext>
          </c:extLst>
        </c:ser>
        <c:ser>
          <c:idx val="22"/>
          <c:order val="22"/>
          <c:tx>
            <c:strRef>
              <c:f>Charts!$C$27</c:f>
              <c:strCache>
                <c:ptCount val="1"/>
                <c:pt idx="0">
                  <c:v>Jul-20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Charts!$D$27:$AA$27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5C06-4EC2-B017-E837FB31A04D}"/>
            </c:ext>
          </c:extLst>
        </c:ser>
        <c:ser>
          <c:idx val="23"/>
          <c:order val="23"/>
          <c:tx>
            <c:strRef>
              <c:f>Charts!$C$28</c:f>
              <c:strCache>
                <c:ptCount val="1"/>
                <c:pt idx="0">
                  <c:v>Aug-20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Charts!$D$1:$AA$1</c:f>
              <c:numCache>
                <c:formatCode>mmm\ \'yy</c:formatCode>
                <c:ptCount val="24"/>
                <c:pt idx="0">
                  <c:v>44742</c:v>
                </c:pt>
                <c:pt idx="1">
                  <c:v>44773</c:v>
                </c:pt>
                <c:pt idx="2">
                  <c:v>44804</c:v>
                </c:pt>
                <c:pt idx="3">
                  <c:v>44834</c:v>
                </c:pt>
                <c:pt idx="4">
                  <c:v>44865</c:v>
                </c:pt>
                <c:pt idx="5">
                  <c:v>44895</c:v>
                </c:pt>
                <c:pt idx="6">
                  <c:v>44926</c:v>
                </c:pt>
                <c:pt idx="7">
                  <c:v>44957</c:v>
                </c:pt>
                <c:pt idx="8">
                  <c:v>44985</c:v>
                </c:pt>
                <c:pt idx="9">
                  <c:v>45016</c:v>
                </c:pt>
                <c:pt idx="10">
                  <c:v>45046</c:v>
                </c:pt>
                <c:pt idx="11">
                  <c:v>45077</c:v>
                </c:pt>
                <c:pt idx="12">
                  <c:v>45107</c:v>
                </c:pt>
                <c:pt idx="13">
                  <c:v>45138</c:v>
                </c:pt>
                <c:pt idx="14">
                  <c:v>45169</c:v>
                </c:pt>
                <c:pt idx="15">
                  <c:v>45199</c:v>
                </c:pt>
                <c:pt idx="16">
                  <c:v>45230</c:v>
                </c:pt>
                <c:pt idx="17">
                  <c:v>45260</c:v>
                </c:pt>
                <c:pt idx="18">
                  <c:v>45291</c:v>
                </c:pt>
                <c:pt idx="19">
                  <c:v>45322</c:v>
                </c:pt>
                <c:pt idx="20">
                  <c:v>45351</c:v>
                </c:pt>
                <c:pt idx="21">
                  <c:v>45382</c:v>
                </c:pt>
                <c:pt idx="22">
                  <c:v>45412</c:v>
                </c:pt>
                <c:pt idx="23">
                  <c:v>45443</c:v>
                </c:pt>
              </c:numCache>
            </c:numRef>
          </c:cat>
          <c:val>
            <c:numRef>
              <c:f>Charts!$D$28:$AA$28</c:f>
              <c:numCache>
                <c:formatCode>_(* #,##0_);_(* \(#,##0\);_(* "-"??_);_(@_)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5C06-4EC2-B017-E837FB31A0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34381392"/>
        <c:axId val="1534381936"/>
      </c:lineChart>
      <c:dateAx>
        <c:axId val="1534381392"/>
        <c:scaling>
          <c:orientation val="minMax"/>
        </c:scaling>
        <c:delete val="0"/>
        <c:axPos val="b"/>
        <c:numFmt formatCode="mmm\ \'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381936"/>
        <c:crosses val="autoZero"/>
        <c:auto val="1"/>
        <c:lblOffset val="100"/>
        <c:baseTimeUnit val="months"/>
      </c:dateAx>
      <c:valAx>
        <c:axId val="1534381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381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31</xdr:row>
      <xdr:rowOff>33336</xdr:rowOff>
    </xdr:from>
    <xdr:to>
      <xdr:col>27</xdr:col>
      <xdr:colOff>38100</xdr:colOff>
      <xdr:row>51</xdr:row>
      <xdr:rowOff>95250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N113"/>
  <sheetViews>
    <sheetView tabSelected="1" zoomScale="80" zoomScaleNormal="80" zoomScaleSheetLayoutView="55" workbookViewId="0">
      <pane xSplit="4" ySplit="11" topLeftCell="T60" activePane="bottomRight" state="frozen"/>
      <selection pane="topRight" activeCell="E1" sqref="E1"/>
      <selection pane="bottomLeft" activeCell="A11" sqref="A11"/>
      <selection pane="bottomRight" activeCell="AA82" sqref="AA82"/>
    </sheetView>
  </sheetViews>
  <sheetFormatPr defaultRowHeight="15" customHeight="1" outlineLevelRow="1" outlineLevelCol="1" x14ac:dyDescent="0.25"/>
  <cols>
    <col min="1" max="1" width="11.140625" customWidth="1"/>
    <col min="2" max="2" width="43.28515625" customWidth="1"/>
    <col min="3" max="4" width="16.140625" customWidth="1"/>
    <col min="5" max="5" width="7.140625" style="170" customWidth="1" outlineLevel="1"/>
    <col min="6" max="6" width="14.28515625" customWidth="1" outlineLevel="1"/>
    <col min="7" max="7" width="7.140625" style="170" customWidth="1" outlineLevel="1"/>
    <col min="8" max="8" width="14.28515625" customWidth="1" outlineLevel="1"/>
    <col min="9" max="9" width="7.140625" style="170" customWidth="1" outlineLevel="1"/>
    <col min="10" max="10" width="14.28515625" customWidth="1" outlineLevel="1"/>
    <col min="11" max="11" width="7.85546875" style="170" customWidth="1" outlineLevel="1"/>
    <col min="12" max="12" width="14.28515625" customWidth="1" outlineLevel="1"/>
    <col min="13" max="13" width="7.85546875" style="170" customWidth="1" outlineLevel="1"/>
    <col min="14" max="14" width="14.28515625" customWidth="1" outlineLevel="1"/>
    <col min="15" max="15" width="7.85546875" style="170" customWidth="1" outlineLevel="1"/>
    <col min="16" max="16" width="14.28515625" customWidth="1" outlineLevel="1"/>
    <col min="17" max="17" width="7.85546875" style="170" customWidth="1" outlineLevel="1"/>
    <col min="18" max="18" width="14.28515625" customWidth="1" outlineLevel="1"/>
    <col min="19" max="19" width="7.85546875" style="170" bestFit="1" customWidth="1"/>
    <col min="20" max="20" width="14.28515625" customWidth="1"/>
    <col min="21" max="21" width="7.85546875" style="170" bestFit="1" customWidth="1"/>
    <col min="22" max="22" width="14.28515625" customWidth="1"/>
    <col min="23" max="23" width="7.85546875" style="170" bestFit="1" customWidth="1"/>
    <col min="24" max="24" width="14.28515625" customWidth="1"/>
    <col min="25" max="25" width="7.85546875" style="170" bestFit="1" customWidth="1"/>
    <col min="26" max="26" width="14.28515625" customWidth="1"/>
    <col min="27" max="27" width="7.140625" style="170" customWidth="1"/>
    <col min="28" max="28" width="14.28515625" customWidth="1"/>
    <col min="29" max="29" width="7.140625" style="170" customWidth="1"/>
    <col min="30" max="30" width="14.28515625" customWidth="1"/>
    <col min="31" max="31" width="7.140625" style="170" customWidth="1"/>
    <col min="32" max="32" width="14.28515625" customWidth="1"/>
    <col min="33" max="33" width="7.140625" style="170" customWidth="1"/>
    <col min="34" max="34" width="14.28515625" customWidth="1"/>
    <col min="35" max="35" width="7.140625" style="170" customWidth="1"/>
    <col min="36" max="36" width="14.28515625" customWidth="1"/>
    <col min="37" max="37" width="7.140625" style="170" customWidth="1"/>
    <col min="38" max="38" width="14.28515625" customWidth="1"/>
    <col min="39" max="39" width="7.140625" style="170" customWidth="1"/>
    <col min="40" max="40" width="14.28515625" customWidth="1"/>
    <col min="202" max="244" width="9.140625" customWidth="1"/>
    <col min="458" max="500" width="9.140625" customWidth="1"/>
    <col min="714" max="756" width="9.140625" customWidth="1"/>
    <col min="970" max="1012" width="9.140625" customWidth="1"/>
    <col min="1226" max="1268" width="9.140625" customWidth="1"/>
    <col min="1482" max="1524" width="9.140625" customWidth="1"/>
    <col min="1738" max="1780" width="9.140625" customWidth="1"/>
    <col min="1994" max="2036" width="9.140625" customWidth="1"/>
    <col min="2250" max="2292" width="9.140625" customWidth="1"/>
    <col min="2506" max="2548" width="9.140625" customWidth="1"/>
    <col min="2762" max="2804" width="9.140625" customWidth="1"/>
    <col min="3018" max="3060" width="9.140625" customWidth="1"/>
    <col min="3274" max="3316" width="9.140625" customWidth="1"/>
    <col min="3530" max="3572" width="9.140625" customWidth="1"/>
    <col min="3786" max="3828" width="9.140625" customWidth="1"/>
    <col min="4042" max="4084" width="9.140625" customWidth="1"/>
    <col min="4298" max="4340" width="9.140625" customWidth="1"/>
    <col min="4554" max="4596" width="9.140625" customWidth="1"/>
    <col min="4810" max="4852" width="9.140625" customWidth="1"/>
    <col min="5066" max="5108" width="9.140625" customWidth="1"/>
    <col min="5322" max="5364" width="9.140625" customWidth="1"/>
    <col min="5578" max="5620" width="9.140625" customWidth="1"/>
    <col min="5834" max="5876" width="9.140625" customWidth="1"/>
    <col min="6090" max="6132" width="9.140625" customWidth="1"/>
    <col min="6346" max="6388" width="9.140625" customWidth="1"/>
    <col min="6602" max="6644" width="9.140625" customWidth="1"/>
    <col min="6858" max="6900" width="9.140625" customWidth="1"/>
    <col min="7114" max="7156" width="9.140625" customWidth="1"/>
    <col min="7370" max="7412" width="9.140625" customWidth="1"/>
    <col min="7626" max="7668" width="9.140625" customWidth="1"/>
    <col min="7882" max="7924" width="9.140625" customWidth="1"/>
    <col min="8138" max="8180" width="9.140625" customWidth="1"/>
    <col min="8394" max="8436" width="9.140625" customWidth="1"/>
    <col min="8650" max="8692" width="9.140625" customWidth="1"/>
    <col min="8906" max="8948" width="9.140625" customWidth="1"/>
    <col min="9162" max="9204" width="9.140625" customWidth="1"/>
    <col min="9418" max="9460" width="9.140625" customWidth="1"/>
    <col min="9674" max="9716" width="9.140625" customWidth="1"/>
    <col min="9930" max="9972" width="9.140625" customWidth="1"/>
    <col min="10186" max="10228" width="9.140625" customWidth="1"/>
    <col min="10442" max="10484" width="9.140625" customWidth="1"/>
    <col min="10698" max="10740" width="9.140625" customWidth="1"/>
    <col min="10954" max="10996" width="9.140625" customWidth="1"/>
    <col min="11210" max="11252" width="9.140625" customWidth="1"/>
    <col min="11466" max="11508" width="9.140625" customWidth="1"/>
    <col min="11722" max="11764" width="9.140625" customWidth="1"/>
    <col min="11978" max="12020" width="9.140625" customWidth="1"/>
    <col min="12234" max="12276" width="9.140625" customWidth="1"/>
    <col min="12490" max="12532" width="9.140625" customWidth="1"/>
    <col min="12746" max="12788" width="9.140625" customWidth="1"/>
    <col min="13002" max="13044" width="9.140625" customWidth="1"/>
    <col min="13258" max="13300" width="9.140625" customWidth="1"/>
    <col min="13514" max="13556" width="9.140625" customWidth="1"/>
    <col min="13770" max="13812" width="9.140625" customWidth="1"/>
    <col min="14026" max="14068" width="9.140625" customWidth="1"/>
    <col min="14282" max="14324" width="9.140625" customWidth="1"/>
    <col min="14538" max="14580" width="9.140625" customWidth="1"/>
    <col min="14794" max="14836" width="9.140625" customWidth="1"/>
    <col min="15050" max="15092" width="9.140625" customWidth="1"/>
    <col min="15306" max="15348" width="9.140625" customWidth="1"/>
    <col min="15562" max="15604" width="9.140625" customWidth="1"/>
    <col min="15818" max="15860" width="9.140625" customWidth="1"/>
    <col min="16074" max="16116" width="9.140625" customWidth="1"/>
  </cols>
  <sheetData>
    <row r="1" spans="1:40" outlineLevel="1" x14ac:dyDescent="0.25">
      <c r="A1" s="171" t="s">
        <v>10</v>
      </c>
      <c r="B1" s="171" t="s">
        <v>11</v>
      </c>
      <c r="C1" s="172" t="s">
        <v>9</v>
      </c>
      <c r="D1" s="68">
        <v>0.1</v>
      </c>
      <c r="E1" s="151"/>
      <c r="F1" s="58">
        <v>44742</v>
      </c>
      <c r="G1" s="151"/>
      <c r="H1" s="58">
        <v>44773</v>
      </c>
      <c r="I1" s="151"/>
      <c r="J1" s="58">
        <v>44804</v>
      </c>
      <c r="K1" s="151"/>
      <c r="L1" s="58">
        <v>44834</v>
      </c>
      <c r="M1" s="151"/>
      <c r="N1" s="58">
        <v>44865</v>
      </c>
      <c r="O1" s="151"/>
      <c r="P1" s="58">
        <v>44895</v>
      </c>
      <c r="Q1" s="151"/>
      <c r="R1" s="58">
        <v>44926</v>
      </c>
      <c r="S1" s="151"/>
      <c r="T1" s="58">
        <v>44957</v>
      </c>
      <c r="U1" s="151"/>
      <c r="V1" s="58">
        <f>+U9</f>
        <v>44985</v>
      </c>
      <c r="W1" s="151"/>
      <c r="X1" s="58">
        <v>45016</v>
      </c>
      <c r="Y1" s="151"/>
      <c r="Z1" s="58">
        <f>+Y9</f>
        <v>45046</v>
      </c>
      <c r="AA1" s="151"/>
      <c r="AB1" s="58">
        <f>+AA9</f>
        <v>45077</v>
      </c>
      <c r="AC1" s="151"/>
      <c r="AD1" s="58">
        <f>+AC9</f>
        <v>45107</v>
      </c>
      <c r="AE1" s="151"/>
      <c r="AF1" s="58">
        <f>+AE9</f>
        <v>45138</v>
      </c>
      <c r="AG1" s="151"/>
      <c r="AH1" s="58">
        <f>+AG9</f>
        <v>45169</v>
      </c>
      <c r="AI1" s="151"/>
      <c r="AJ1" s="58">
        <f>+AI9</f>
        <v>45199</v>
      </c>
      <c r="AK1" s="151"/>
      <c r="AL1" s="58">
        <f>+AK9</f>
        <v>45230</v>
      </c>
      <c r="AM1" s="151"/>
      <c r="AN1" s="58">
        <f>+AM9</f>
        <v>45260</v>
      </c>
    </row>
    <row r="2" spans="1:40" outlineLevel="1" x14ac:dyDescent="0.25">
      <c r="A2" s="173" t="str">
        <f>+Info!C2</f>
        <v>22066</v>
      </c>
      <c r="B2" s="173" t="str">
        <f>+Info!D2</f>
        <v>ROCKPOOL PELICAN WATERS</v>
      </c>
      <c r="C2" s="173" t="str">
        <f>+Info!E2</f>
        <v>BOND/BG</v>
      </c>
      <c r="D2" s="67">
        <v>0.05</v>
      </c>
      <c r="E2" s="152"/>
      <c r="F2" s="9"/>
      <c r="G2" s="152"/>
      <c r="H2" s="9"/>
      <c r="I2" s="152"/>
      <c r="J2" s="9"/>
      <c r="K2" s="152"/>
      <c r="L2" s="9"/>
      <c r="M2" s="152"/>
      <c r="N2" s="9"/>
      <c r="O2" s="152"/>
      <c r="P2" s="9"/>
      <c r="Q2" s="152"/>
      <c r="R2" s="9"/>
      <c r="S2" s="152"/>
      <c r="T2" s="9"/>
      <c r="U2" s="152"/>
      <c r="V2" s="9"/>
      <c r="W2" s="152"/>
      <c r="X2" s="9"/>
      <c r="Y2" s="152"/>
      <c r="Z2" s="9"/>
      <c r="AA2" s="152"/>
      <c r="AB2" s="9"/>
      <c r="AC2" s="152"/>
      <c r="AD2" s="9"/>
      <c r="AE2" s="152"/>
      <c r="AF2" s="9"/>
      <c r="AG2" s="152"/>
      <c r="AH2" s="9"/>
      <c r="AI2" s="152"/>
      <c r="AJ2" s="9"/>
      <c r="AK2" s="152"/>
      <c r="AL2" s="9"/>
      <c r="AM2" s="152"/>
      <c r="AN2" s="9"/>
    </row>
    <row r="3" spans="1:40" ht="30" customHeight="1" outlineLevel="1" x14ac:dyDescent="0.25">
      <c r="A3" s="174" t="s">
        <v>50</v>
      </c>
      <c r="B3" s="174" t="s">
        <v>14</v>
      </c>
      <c r="C3" s="174" t="s">
        <v>51</v>
      </c>
      <c r="D3" s="175" t="s">
        <v>5</v>
      </c>
      <c r="E3" s="152"/>
      <c r="F3" s="9"/>
      <c r="G3" s="152"/>
      <c r="H3" s="9"/>
      <c r="I3" s="152"/>
      <c r="J3" s="9"/>
      <c r="K3" s="152"/>
      <c r="L3" s="9"/>
      <c r="M3" s="152"/>
      <c r="N3" s="9"/>
      <c r="O3" s="152"/>
      <c r="P3" s="9"/>
      <c r="Q3" s="152"/>
      <c r="R3" s="9"/>
      <c r="S3" s="152"/>
      <c r="T3" s="9"/>
      <c r="U3" s="152"/>
      <c r="V3" s="9"/>
      <c r="W3" s="152"/>
      <c r="X3" s="9"/>
      <c r="Y3" s="152"/>
      <c r="Z3" s="9"/>
      <c r="AA3" s="152"/>
      <c r="AB3" s="9"/>
      <c r="AC3" s="152"/>
      <c r="AD3" s="9"/>
      <c r="AE3" s="152"/>
      <c r="AF3" s="9"/>
      <c r="AG3" s="152"/>
      <c r="AH3" s="9"/>
      <c r="AI3" s="152"/>
      <c r="AJ3" s="9"/>
      <c r="AK3" s="152"/>
      <c r="AL3" s="9"/>
      <c r="AM3" s="152"/>
      <c r="AN3" s="9"/>
    </row>
    <row r="4" spans="1:40" outlineLevel="1" x14ac:dyDescent="0.25">
      <c r="A4" s="176">
        <f>+Info!F2</f>
        <v>44774</v>
      </c>
      <c r="B4" s="176">
        <f>+Info!G2</f>
        <v>45258</v>
      </c>
      <c r="C4" s="176">
        <f>+Info!H2</f>
        <v>45258</v>
      </c>
      <c r="D4" s="66">
        <f>B4-A4+1</f>
        <v>485</v>
      </c>
      <c r="E4" s="152"/>
      <c r="F4" s="9"/>
      <c r="G4" s="152"/>
      <c r="H4" s="9"/>
      <c r="I4" s="152"/>
      <c r="J4" s="9"/>
      <c r="K4" s="152"/>
      <c r="L4" s="9"/>
      <c r="M4" s="152"/>
      <c r="N4" s="9"/>
      <c r="O4" s="152"/>
      <c r="P4" s="9"/>
      <c r="Q4" s="152"/>
      <c r="R4" s="9"/>
      <c r="S4" s="152"/>
      <c r="T4" s="9"/>
      <c r="U4" s="152"/>
      <c r="V4" s="9"/>
      <c r="W4" s="152"/>
      <c r="X4" s="9" t="s">
        <v>494</v>
      </c>
      <c r="Y4" s="152"/>
      <c r="Z4" s="9" t="s">
        <v>494</v>
      </c>
      <c r="AA4" s="152"/>
      <c r="AB4" s="9" t="s">
        <v>494</v>
      </c>
      <c r="AC4" s="152"/>
      <c r="AD4" s="9" t="s">
        <v>494</v>
      </c>
      <c r="AE4" s="152"/>
      <c r="AF4" s="9" t="s">
        <v>494</v>
      </c>
      <c r="AG4" s="152"/>
      <c r="AH4" s="9" t="s">
        <v>494</v>
      </c>
      <c r="AI4" s="152"/>
      <c r="AJ4" s="9" t="s">
        <v>494</v>
      </c>
      <c r="AK4" s="152"/>
      <c r="AL4" s="9" t="s">
        <v>494</v>
      </c>
      <c r="AM4" s="152"/>
      <c r="AN4" s="9" t="s">
        <v>494</v>
      </c>
    </row>
    <row r="5" spans="1:40" outlineLevel="1" x14ac:dyDescent="0.25">
      <c r="A5" s="177" t="s">
        <v>4</v>
      </c>
      <c r="B5" s="178">
        <f>+Info!$N$9</f>
        <v>45047.714963159699</v>
      </c>
      <c r="C5" s="179"/>
      <c r="D5" s="179"/>
      <c r="E5" s="152"/>
      <c r="F5" s="9"/>
      <c r="G5" s="152"/>
      <c r="H5" s="9"/>
      <c r="I5" s="152"/>
      <c r="J5" s="9"/>
      <c r="K5" s="152"/>
      <c r="L5" s="9"/>
      <c r="M5" s="152"/>
      <c r="N5" s="9"/>
      <c r="O5" s="152"/>
      <c r="P5" s="9"/>
      <c r="Q5" s="152"/>
      <c r="R5" s="9"/>
      <c r="S5" s="152"/>
      <c r="T5" s="9"/>
      <c r="U5" s="152"/>
      <c r="V5" s="9"/>
      <c r="W5" s="152"/>
      <c r="X5" s="9">
        <v>10</v>
      </c>
      <c r="Y5" s="152"/>
      <c r="Z5" s="9">
        <f>+X5+1</f>
        <v>11</v>
      </c>
      <c r="AA5" s="152"/>
      <c r="AB5" s="9">
        <f>+Z5+1</f>
        <v>12</v>
      </c>
      <c r="AC5" s="152"/>
      <c r="AD5" s="9">
        <f>+AB5+1</f>
        <v>13</v>
      </c>
      <c r="AE5" s="152"/>
      <c r="AF5" s="9">
        <f>+AD5+1</f>
        <v>14</v>
      </c>
      <c r="AG5" s="152"/>
      <c r="AH5" s="9">
        <f>+AF5+1</f>
        <v>15</v>
      </c>
      <c r="AI5" s="152"/>
      <c r="AJ5" s="9">
        <f>+AH5+1</f>
        <v>16</v>
      </c>
      <c r="AK5" s="152"/>
      <c r="AL5" s="9">
        <f>+AJ5+1</f>
        <v>17</v>
      </c>
      <c r="AM5" s="152"/>
      <c r="AN5" s="9">
        <f>+AL5+1</f>
        <v>18</v>
      </c>
    </row>
    <row r="6" spans="1:40" ht="15.75" outlineLevel="1" thickBot="1" x14ac:dyDescent="0.3">
      <c r="A6" s="1"/>
      <c r="B6" s="45"/>
      <c r="C6" s="10"/>
      <c r="D6" s="10"/>
      <c r="E6" s="153"/>
      <c r="F6" s="5"/>
      <c r="G6" s="153"/>
      <c r="H6" s="5"/>
      <c r="I6" s="153"/>
      <c r="J6" s="5"/>
      <c r="K6" s="153"/>
      <c r="L6" s="5"/>
      <c r="M6" s="153"/>
      <c r="N6" s="5"/>
      <c r="O6" s="153"/>
      <c r="P6" s="5"/>
      <c r="Q6" s="153"/>
      <c r="R6" s="5"/>
      <c r="S6" s="153"/>
      <c r="T6" s="5"/>
      <c r="U6" s="153"/>
      <c r="V6" s="5"/>
      <c r="W6" s="153"/>
      <c r="X6" s="5"/>
      <c r="Y6" s="153"/>
      <c r="Z6" s="5"/>
      <c r="AA6" s="153"/>
      <c r="AB6" s="5"/>
      <c r="AC6" s="153"/>
      <c r="AD6" s="5"/>
      <c r="AE6" s="153"/>
      <c r="AF6" s="5"/>
      <c r="AG6" s="153"/>
      <c r="AH6" s="5"/>
      <c r="AI6" s="153"/>
      <c r="AJ6" s="5"/>
      <c r="AK6" s="153"/>
      <c r="AL6" s="5"/>
      <c r="AM6" s="153"/>
      <c r="AN6" s="5"/>
    </row>
    <row r="7" spans="1:40" s="183" customFormat="1" ht="27.95" customHeight="1" outlineLevel="1" thickBot="1" x14ac:dyDescent="0.3">
      <c r="A7" s="24" t="s">
        <v>6</v>
      </c>
      <c r="B7" s="18"/>
      <c r="C7" s="180"/>
      <c r="D7" s="180"/>
      <c r="E7" s="181"/>
      <c r="F7" s="182"/>
      <c r="G7" s="181"/>
      <c r="H7" s="182"/>
      <c r="I7" s="181"/>
      <c r="J7" s="182"/>
      <c r="K7" s="181"/>
      <c r="L7" s="182"/>
      <c r="M7" s="181"/>
      <c r="N7" s="182"/>
      <c r="O7" s="181"/>
      <c r="P7" s="182"/>
      <c r="Q7" s="181"/>
      <c r="R7" s="182"/>
      <c r="S7" s="181"/>
      <c r="T7" s="182"/>
      <c r="U7" s="181"/>
      <c r="V7" s="182"/>
      <c r="W7" s="181"/>
      <c r="X7" s="182"/>
      <c r="Y7" s="181"/>
      <c r="Z7" s="182"/>
      <c r="AA7" s="181"/>
      <c r="AB7" s="182"/>
      <c r="AC7" s="181"/>
      <c r="AD7" s="182"/>
      <c r="AE7" s="181"/>
      <c r="AF7" s="182"/>
      <c r="AG7" s="181"/>
      <c r="AH7" s="182"/>
      <c r="AI7" s="181"/>
      <c r="AJ7" s="182"/>
      <c r="AK7" s="181"/>
      <c r="AL7" s="182"/>
      <c r="AM7" s="181"/>
      <c r="AN7" s="182"/>
    </row>
    <row r="8" spans="1:40" s="183" customFormat="1" ht="15" customHeight="1" outlineLevel="1" thickBot="1" x14ac:dyDescent="0.3">
      <c r="A8" s="184"/>
      <c r="B8" s="185"/>
      <c r="C8" s="186"/>
      <c r="D8" s="186"/>
      <c r="E8" s="187" t="s">
        <v>463</v>
      </c>
      <c r="F8" s="188">
        <v>0</v>
      </c>
      <c r="G8" s="187" t="s">
        <v>463</v>
      </c>
      <c r="H8" s="188">
        <v>0</v>
      </c>
      <c r="I8" s="187" t="s">
        <v>463</v>
      </c>
      <c r="J8" s="188">
        <v>0</v>
      </c>
      <c r="K8" s="187" t="s">
        <v>463</v>
      </c>
      <c r="L8" s="188">
        <v>0</v>
      </c>
      <c r="M8" s="187" t="s">
        <v>463</v>
      </c>
      <c r="N8" s="188">
        <v>0</v>
      </c>
      <c r="O8" s="187" t="s">
        <v>463</v>
      </c>
      <c r="P8" s="188">
        <v>0</v>
      </c>
      <c r="Q8" s="187" t="s">
        <v>463</v>
      </c>
      <c r="R8" s="188">
        <v>0</v>
      </c>
      <c r="S8" s="187" t="s">
        <v>463</v>
      </c>
      <c r="T8" s="188">
        <v>0</v>
      </c>
      <c r="U8" s="187" t="str">
        <f>IFERROR(IF(V8/$C8=0,"",V8/$C8),"")</f>
        <v/>
      </c>
      <c r="V8" s="188">
        <f>SUMIF(Info!$A:$A,Cashflow!$B8,Info!$J:$J)</f>
        <v>0</v>
      </c>
      <c r="W8" s="187" t="s">
        <v>463</v>
      </c>
      <c r="X8" s="188">
        <v>0</v>
      </c>
      <c r="Y8" s="187">
        <f>IFERROR(IF(Z8/$C8=0,0,Z8/$C8),0)</f>
        <v>0</v>
      </c>
      <c r="Z8" s="188">
        <f>SUMIF(Info!$A:$A,Cashflow!$B8,Info!$J:$J)</f>
        <v>0</v>
      </c>
      <c r="AA8" s="187">
        <f>IFERROR(IF(AB8/$C8=0,0,AB8/$C8),0)</f>
        <v>0</v>
      </c>
      <c r="AB8" s="188">
        <f>SUMIF(Info!$A:$A,Cashflow!$B8,Info!$J:$J)</f>
        <v>0</v>
      </c>
      <c r="AC8" s="187">
        <f>IFERROR(IF(AD8/$C8=0,0,AD8/$C8),0)</f>
        <v>0</v>
      </c>
      <c r="AD8" s="188">
        <f>SUMIF(Info!$A:$A,Cashflow!$B8,Info!$J:$J)</f>
        <v>0</v>
      </c>
      <c r="AE8" s="187">
        <f>IFERROR(IF(AF8/$C8=0,0,AF8/$C8),0)</f>
        <v>0</v>
      </c>
      <c r="AF8" s="188">
        <f>SUMIF(Info!$A:$A,Cashflow!$B8,Info!$J:$J)</f>
        <v>0</v>
      </c>
      <c r="AG8" s="187">
        <f>IFERROR(IF(AH8/$C8=0,0,AH8/$C8),0)</f>
        <v>0</v>
      </c>
      <c r="AH8" s="188">
        <f>SUMIF(Info!$A:$A,Cashflow!$B8,Info!$J:$J)</f>
        <v>0</v>
      </c>
      <c r="AI8" s="187">
        <f>IFERROR(IF(AJ8/$C8=0,0,AJ8/$C8),0)</f>
        <v>0</v>
      </c>
      <c r="AJ8" s="188">
        <f>SUMIF(Info!$A:$A,Cashflow!$B8,Info!$J:$J)</f>
        <v>0</v>
      </c>
      <c r="AK8" s="187">
        <f>IFERROR(IF(AL8/$C8=0,0,AL8/$C8),0)</f>
        <v>0</v>
      </c>
      <c r="AL8" s="188">
        <f>SUMIF(Info!$A:$A,Cashflow!$B8,Info!$J:$J)</f>
        <v>0</v>
      </c>
      <c r="AM8" s="187">
        <f>IFERROR(IF(AN8/$C8=0,0,AN8/$C8),0)</f>
        <v>0</v>
      </c>
      <c r="AN8" s="188">
        <f>SUMIF(Info!$A:$A,Cashflow!$B8,Info!$J:$J)</f>
        <v>0</v>
      </c>
    </row>
    <row r="9" spans="1:40" s="183" customFormat="1" ht="16.5" customHeight="1" thickTop="1" thickBot="1" x14ac:dyDescent="0.3">
      <c r="A9" s="189" t="s">
        <v>0</v>
      </c>
      <c r="B9" s="190" t="s">
        <v>1</v>
      </c>
      <c r="C9" s="191"/>
      <c r="D9" s="191" t="s">
        <v>2</v>
      </c>
      <c r="E9" s="280">
        <v>44742</v>
      </c>
      <c r="F9" s="281"/>
      <c r="G9" s="280">
        <v>44773</v>
      </c>
      <c r="H9" s="281"/>
      <c r="I9" s="280">
        <v>44804</v>
      </c>
      <c r="J9" s="281"/>
      <c r="K9" s="280">
        <v>44834</v>
      </c>
      <c r="L9" s="281"/>
      <c r="M9" s="280">
        <v>44865</v>
      </c>
      <c r="N9" s="281"/>
      <c r="O9" s="280">
        <v>44895</v>
      </c>
      <c r="P9" s="281"/>
      <c r="Q9" s="280">
        <v>44926</v>
      </c>
      <c r="R9" s="281"/>
      <c r="S9" s="280">
        <v>44957</v>
      </c>
      <c r="T9" s="281"/>
      <c r="U9" s="280">
        <v>44985</v>
      </c>
      <c r="V9" s="281"/>
      <c r="W9" s="280">
        <v>45016</v>
      </c>
      <c r="X9" s="281"/>
      <c r="Y9" s="280">
        <f>EOMONTH(W9,1)</f>
        <v>45046</v>
      </c>
      <c r="Z9" s="281"/>
      <c r="AA9" s="280">
        <f>EOMONTH(Y9,1)</f>
        <v>45077</v>
      </c>
      <c r="AB9" s="281"/>
      <c r="AC9" s="280">
        <f>EOMONTH(AA9,1)</f>
        <v>45107</v>
      </c>
      <c r="AD9" s="281"/>
      <c r="AE9" s="280">
        <f>EOMONTH(AC9,1)</f>
        <v>45138</v>
      </c>
      <c r="AF9" s="281"/>
      <c r="AG9" s="280">
        <f>EOMONTH(AE9,1)</f>
        <v>45169</v>
      </c>
      <c r="AH9" s="281"/>
      <c r="AI9" s="280">
        <f>EOMONTH(AG9,1)</f>
        <v>45199</v>
      </c>
      <c r="AJ9" s="281"/>
      <c r="AK9" s="280">
        <f>EOMONTH(AI9,1)</f>
        <v>45230</v>
      </c>
      <c r="AL9" s="281"/>
      <c r="AM9" s="280">
        <f>EOMONTH(AK9,1)</f>
        <v>45260</v>
      </c>
      <c r="AN9" s="281"/>
    </row>
    <row r="10" spans="1:40" s="183" customFormat="1" ht="16.5" customHeight="1" thickBot="1" x14ac:dyDescent="0.3">
      <c r="A10" s="192"/>
      <c r="B10" s="193"/>
      <c r="C10" s="194"/>
      <c r="D10" s="194"/>
      <c r="E10" s="278" t="s">
        <v>55</v>
      </c>
      <c r="F10" s="279"/>
      <c r="G10" s="278" t="s">
        <v>55</v>
      </c>
      <c r="H10" s="279"/>
      <c r="I10" s="278" t="s">
        <v>55</v>
      </c>
      <c r="J10" s="279"/>
      <c r="K10" s="278" t="s">
        <v>55</v>
      </c>
      <c r="L10" s="279"/>
      <c r="M10" s="278" t="s">
        <v>55</v>
      </c>
      <c r="N10" s="279"/>
      <c r="O10" s="278" t="s">
        <v>55</v>
      </c>
      <c r="P10" s="279"/>
      <c r="Q10" s="278" t="s">
        <v>55</v>
      </c>
      <c r="R10" s="279"/>
      <c r="S10" s="278" t="s">
        <v>55</v>
      </c>
      <c r="T10" s="279"/>
      <c r="U10" s="278" t="s">
        <v>55</v>
      </c>
      <c r="V10" s="279"/>
      <c r="W10" s="278" t="s">
        <v>55</v>
      </c>
      <c r="X10" s="279"/>
      <c r="Y10" s="278" t="str">
        <f>+IF(Y9&gt;$B$4+30,"COMPLETE","Forecast")</f>
        <v>Forecast</v>
      </c>
      <c r="Z10" s="279"/>
      <c r="AA10" s="278" t="str">
        <f>+IF(AA9&gt;$B$4+30,"COMPLETE","Forecast")</f>
        <v>Forecast</v>
      </c>
      <c r="AB10" s="279"/>
      <c r="AC10" s="278" t="str">
        <f>+IF(AC9&gt;$B$4+30,"COMPLETE","Forecast")</f>
        <v>Forecast</v>
      </c>
      <c r="AD10" s="279"/>
      <c r="AE10" s="278" t="str">
        <f>+IF(AE9&gt;$B$4+30,"COMPLETE","Forecast")</f>
        <v>Forecast</v>
      </c>
      <c r="AF10" s="279"/>
      <c r="AG10" s="278" t="str">
        <f>+IF(AG9&gt;$B$4+30,"COMPLETE","Forecast")</f>
        <v>Forecast</v>
      </c>
      <c r="AH10" s="279"/>
      <c r="AI10" s="278" t="str">
        <f>+IF(AI9&gt;$B$4+30,"COMPLETE","Forecast")</f>
        <v>Forecast</v>
      </c>
      <c r="AJ10" s="279"/>
      <c r="AK10" s="278" t="str">
        <f>+IF(AK9&gt;$B$4+30,"COMPLETE","Forecast")</f>
        <v>Forecast</v>
      </c>
      <c r="AL10" s="279"/>
      <c r="AM10" s="278" t="str">
        <f>+IF(AM9&gt;$B$4+30,"COMPLETE","Forecast")</f>
        <v>Forecast</v>
      </c>
      <c r="AN10" s="279"/>
    </row>
    <row r="11" spans="1:40" s="183" customFormat="1" ht="16.5" customHeight="1" x14ac:dyDescent="0.25">
      <c r="A11" s="192"/>
      <c r="B11" s="193"/>
      <c r="C11" s="194" t="s">
        <v>20</v>
      </c>
      <c r="D11" s="194" t="s">
        <v>21</v>
      </c>
      <c r="E11" s="276" t="s">
        <v>7</v>
      </c>
      <c r="F11" s="277"/>
      <c r="G11" s="276" t="s">
        <v>7</v>
      </c>
      <c r="H11" s="277"/>
      <c r="I11" s="276" t="s">
        <v>7</v>
      </c>
      <c r="J11" s="277"/>
      <c r="K11" s="276" t="s">
        <v>7</v>
      </c>
      <c r="L11" s="277"/>
      <c r="M11" s="276" t="s">
        <v>7</v>
      </c>
      <c r="N11" s="277"/>
      <c r="O11" s="276" t="s">
        <v>7</v>
      </c>
      <c r="P11" s="277"/>
      <c r="Q11" s="276" t="s">
        <v>7</v>
      </c>
      <c r="R11" s="277"/>
      <c r="S11" s="276" t="s">
        <v>7</v>
      </c>
      <c r="T11" s="277"/>
      <c r="U11" s="276" t="s">
        <v>7</v>
      </c>
      <c r="V11" s="277"/>
      <c r="W11" s="276" t="s">
        <v>7</v>
      </c>
      <c r="X11" s="277"/>
      <c r="Y11" s="276" t="s">
        <v>7</v>
      </c>
      <c r="Z11" s="277"/>
      <c r="AA11" s="276" t="s">
        <v>7</v>
      </c>
      <c r="AB11" s="277"/>
      <c r="AC11" s="276" t="s">
        <v>7</v>
      </c>
      <c r="AD11" s="277"/>
      <c r="AE11" s="276" t="s">
        <v>7</v>
      </c>
      <c r="AF11" s="277"/>
      <c r="AG11" s="276" t="s">
        <v>7</v>
      </c>
      <c r="AH11" s="277"/>
      <c r="AI11" s="276" t="s">
        <v>7</v>
      </c>
      <c r="AJ11" s="277"/>
      <c r="AK11" s="276" t="s">
        <v>7</v>
      </c>
      <c r="AL11" s="277"/>
      <c r="AM11" s="276" t="s">
        <v>7</v>
      </c>
      <c r="AN11" s="277"/>
    </row>
    <row r="12" spans="1:40" s="183" customFormat="1" ht="28.15" customHeight="1" x14ac:dyDescent="0.25">
      <c r="A12" s="195"/>
      <c r="B12" s="196" t="s">
        <v>53</v>
      </c>
      <c r="C12" s="197"/>
      <c r="D12" s="198"/>
      <c r="E12" s="241"/>
      <c r="F12" s="242"/>
      <c r="G12" s="241" t="s">
        <v>463</v>
      </c>
      <c r="H12" s="242">
        <v>0</v>
      </c>
      <c r="I12" s="241"/>
      <c r="J12" s="242"/>
      <c r="K12" s="241"/>
      <c r="L12" s="242"/>
      <c r="M12" s="241" t="s">
        <v>463</v>
      </c>
      <c r="N12" s="242">
        <v>0</v>
      </c>
      <c r="O12" s="241" t="s">
        <v>463</v>
      </c>
      <c r="P12" s="242">
        <v>0</v>
      </c>
      <c r="Q12" s="241"/>
      <c r="R12" s="242"/>
      <c r="S12" s="241"/>
      <c r="T12" s="242"/>
      <c r="U12" s="241" t="s">
        <v>463</v>
      </c>
      <c r="V12" s="242">
        <v>0</v>
      </c>
      <c r="W12" s="241" t="s">
        <v>463</v>
      </c>
      <c r="X12" s="242">
        <v>0</v>
      </c>
      <c r="Y12" s="241">
        <f t="shared" ref="Y12:Y74" si="0">IFERROR(IF(Z12/$C12=0,0,Z12/$C12),0)</f>
        <v>0</v>
      </c>
      <c r="Z12" s="242">
        <f>SUMIF(Info!$A:$A,Cashflow!$B12,Info!$J:$J)</f>
        <v>0</v>
      </c>
      <c r="AA12" s="154"/>
      <c r="AB12" s="199"/>
      <c r="AC12" s="154"/>
      <c r="AD12" s="199"/>
      <c r="AE12" s="154"/>
      <c r="AF12" s="199"/>
      <c r="AG12" s="154"/>
      <c r="AH12" s="199"/>
      <c r="AI12" s="154"/>
      <c r="AJ12" s="199"/>
      <c r="AK12" s="154"/>
      <c r="AL12" s="199"/>
      <c r="AM12" s="154"/>
      <c r="AN12" s="199"/>
    </row>
    <row r="13" spans="1:40" s="183" customFormat="1" x14ac:dyDescent="0.25">
      <c r="A13" s="2"/>
      <c r="B13" s="255" t="s">
        <v>117</v>
      </c>
      <c r="C13" s="202">
        <f>+SUMIF(Info!A:A,B13,Info!I:I)</f>
        <v>139640</v>
      </c>
      <c r="D13" s="202">
        <f>+SUMIF(Info!W:W,B13,Info!$U:$U)</f>
        <v>0</v>
      </c>
      <c r="E13" s="243">
        <v>7.4999999999999997E-2</v>
      </c>
      <c r="F13" s="244">
        <v>10473</v>
      </c>
      <c r="G13" s="243">
        <v>0.15</v>
      </c>
      <c r="H13" s="244">
        <v>20946</v>
      </c>
      <c r="I13" s="243">
        <v>0.22500000000000001</v>
      </c>
      <c r="J13" s="244">
        <v>31419</v>
      </c>
      <c r="K13" s="243">
        <v>0.3</v>
      </c>
      <c r="L13" s="244">
        <v>41892</v>
      </c>
      <c r="M13" s="243">
        <v>0.375</v>
      </c>
      <c r="N13" s="244">
        <v>52365</v>
      </c>
      <c r="O13" s="243">
        <v>0.45</v>
      </c>
      <c r="P13" s="244">
        <v>62838</v>
      </c>
      <c r="Q13" s="243">
        <v>0.52500000000000002</v>
      </c>
      <c r="R13" s="244">
        <v>73311</v>
      </c>
      <c r="S13" s="243">
        <v>0.6</v>
      </c>
      <c r="T13" s="244">
        <v>83784</v>
      </c>
      <c r="U13" s="243">
        <v>0.67500000000000004</v>
      </c>
      <c r="V13" s="244">
        <v>94257</v>
      </c>
      <c r="W13" s="243">
        <v>0.75</v>
      </c>
      <c r="X13" s="244">
        <v>104730</v>
      </c>
      <c r="Y13" s="243">
        <f t="shared" si="0"/>
        <v>0.82499999999999996</v>
      </c>
      <c r="Z13" s="244">
        <f>SUMIF(Info!$A:$A,Cashflow!$B13,Info!$J:$J)</f>
        <v>115203</v>
      </c>
      <c r="AA13" s="156">
        <v>0.9</v>
      </c>
      <c r="AB13" s="203">
        <f>IF(Z13=$C13,$C13,IF(AA13&gt;0,AA13*$C13,$C13*AA13))</f>
        <v>125676</v>
      </c>
      <c r="AC13" s="156">
        <v>0.95</v>
      </c>
      <c r="AD13" s="203">
        <f>IF(AB13=$C13,$C13,IF(AC13&gt;0,AC13*$C13,$C13*AC13))</f>
        <v>132658</v>
      </c>
      <c r="AE13" s="156">
        <v>1</v>
      </c>
      <c r="AF13" s="203">
        <f>IF(AD13=$C13,$C13,IF(AE13&gt;0,AE13*$C13,$C13*AE13))</f>
        <v>139640</v>
      </c>
      <c r="AG13" s="156"/>
      <c r="AH13" s="203">
        <f>IF(AF13=$C13,$C13,IF(AG13&gt;0,AG13*$C13,$C13*AG13))</f>
        <v>139640</v>
      </c>
      <c r="AI13" s="156"/>
      <c r="AJ13" s="203">
        <f>IF(AH13=$C13,$C13,IF(AI13&gt;0,AI13*$C13,$C13*AI13))</f>
        <v>139640</v>
      </c>
      <c r="AK13" s="156"/>
      <c r="AL13" s="203">
        <f>IF(AJ13=$C13,$C13,IF(AK13&gt;0,AK13*$C13,$C13*AK13))</f>
        <v>139640</v>
      </c>
      <c r="AM13" s="156"/>
      <c r="AN13" s="203">
        <f>IF(AL13=$C13,$C13,IF(AM13&gt;0,AM13*$C13,$C13*AM13))</f>
        <v>139640</v>
      </c>
    </row>
    <row r="14" spans="1:40" s="183" customFormat="1" x14ac:dyDescent="0.25">
      <c r="A14" s="195"/>
      <c r="B14" s="204" t="s">
        <v>23</v>
      </c>
      <c r="C14" s="197"/>
      <c r="D14" s="198"/>
      <c r="E14" s="241"/>
      <c r="F14" s="242"/>
      <c r="G14" s="241" t="s">
        <v>463</v>
      </c>
      <c r="H14" s="242">
        <v>0</v>
      </c>
      <c r="I14" s="241" t="s">
        <v>463</v>
      </c>
      <c r="J14" s="242">
        <v>0</v>
      </c>
      <c r="K14" s="241" t="s">
        <v>463</v>
      </c>
      <c r="L14" s="242">
        <v>0</v>
      </c>
      <c r="M14" s="241" t="s">
        <v>463</v>
      </c>
      <c r="N14" s="242">
        <v>0</v>
      </c>
      <c r="O14" s="241" t="s">
        <v>463</v>
      </c>
      <c r="P14" s="242">
        <v>0</v>
      </c>
      <c r="Q14" s="241" t="s">
        <v>463</v>
      </c>
      <c r="R14" s="242">
        <v>0</v>
      </c>
      <c r="S14" s="241" t="s">
        <v>463</v>
      </c>
      <c r="T14" s="242">
        <v>0</v>
      </c>
      <c r="U14" s="241" t="s">
        <v>463</v>
      </c>
      <c r="V14" s="242">
        <v>0</v>
      </c>
      <c r="W14" s="241" t="s">
        <v>463</v>
      </c>
      <c r="X14" s="242">
        <v>0</v>
      </c>
      <c r="Y14" s="241">
        <f t="shared" si="0"/>
        <v>0</v>
      </c>
      <c r="Z14" s="242">
        <f>SUMIF(Info!$A:$A,Cashflow!$B14,Info!$J:$J)</f>
        <v>0</v>
      </c>
      <c r="AA14" s="154"/>
      <c r="AB14" s="199"/>
      <c r="AC14" s="154"/>
      <c r="AD14" s="199"/>
      <c r="AE14" s="154"/>
      <c r="AF14" s="199"/>
      <c r="AG14" s="154"/>
      <c r="AH14" s="199"/>
      <c r="AI14" s="154"/>
      <c r="AJ14" s="199"/>
      <c r="AK14" s="154"/>
      <c r="AL14" s="199"/>
      <c r="AM14" s="154"/>
      <c r="AN14" s="199"/>
    </row>
    <row r="15" spans="1:40" s="183" customFormat="1" x14ac:dyDescent="0.25">
      <c r="A15" s="2"/>
      <c r="B15" s="2" t="s">
        <v>122</v>
      </c>
      <c r="C15" s="202">
        <f>+SUMIF(Info!A:A,B15,Info!I:I)</f>
        <v>4315552.5</v>
      </c>
      <c r="D15" s="202">
        <f>+SUMIF(Info!W:W,B15,Info!$U:$U)</f>
        <v>0</v>
      </c>
      <c r="E15" s="243">
        <v>1.8648782513942305E-2</v>
      </c>
      <c r="F15" s="244">
        <v>80479.8</v>
      </c>
      <c r="G15" s="243">
        <v>8.5199999304839874E-2</v>
      </c>
      <c r="H15" s="244">
        <v>367685.07</v>
      </c>
      <c r="I15" s="243">
        <v>0.1517999977986596</v>
      </c>
      <c r="J15" s="244">
        <v>655100.86</v>
      </c>
      <c r="K15" s="243">
        <v>0.21839999860967976</v>
      </c>
      <c r="L15" s="244">
        <v>942516.66</v>
      </c>
      <c r="M15" s="243">
        <v>0.28499999942069987</v>
      </c>
      <c r="N15" s="244">
        <v>1229932.46</v>
      </c>
      <c r="O15" s="243">
        <v>0.35160000023172006</v>
      </c>
      <c r="P15" s="244">
        <v>1517348.26</v>
      </c>
      <c r="Q15" s="243">
        <v>0.41819999872553981</v>
      </c>
      <c r="R15" s="244">
        <v>1804764.05</v>
      </c>
      <c r="S15" s="243">
        <v>0.48479999953655994</v>
      </c>
      <c r="T15" s="244">
        <v>2092179.85</v>
      </c>
      <c r="U15" s="243">
        <v>0.55139999803037965</v>
      </c>
      <c r="V15" s="244">
        <v>2379595.64</v>
      </c>
      <c r="W15" s="243">
        <v>0.61799999884139978</v>
      </c>
      <c r="X15" s="244">
        <v>2667011.44</v>
      </c>
      <c r="Y15" s="243">
        <f t="shared" si="0"/>
        <v>0.68459999965242002</v>
      </c>
      <c r="Z15" s="244">
        <f>SUMIF(Info!$A:$A,Cashflow!$B15,Info!$J:$J)</f>
        <v>2954427.24</v>
      </c>
      <c r="AA15" s="156">
        <v>0.75119999999999998</v>
      </c>
      <c r="AB15" s="203">
        <f>IF(Z15=$C15,$C15,IF(AA15&gt;0,AA15*$C15,$C15*AA15))</f>
        <v>3241843.0379999997</v>
      </c>
      <c r="AC15" s="156">
        <v>0.81779999999999997</v>
      </c>
      <c r="AD15" s="203">
        <f>IF(AB15=$C15,$C15,IF(AC15&gt;0,AC15*$C15,$C15*AC15))</f>
        <v>3529258.8344999999</v>
      </c>
      <c r="AE15" s="156">
        <v>0.88439999999999996</v>
      </c>
      <c r="AF15" s="203">
        <f>IF(AD15=$C15,$C15,IF(AE15&gt;0,AE15*$C15,$C15*AE15))</f>
        <v>3816674.6310000001</v>
      </c>
      <c r="AG15" s="156">
        <v>0.95099999999999996</v>
      </c>
      <c r="AH15" s="203">
        <f>IF(AF15=$C15,$C15,IF(AG15&gt;0,AG15*$C15,$C15*AG15))</f>
        <v>4104090.4274999998</v>
      </c>
      <c r="AI15" s="156">
        <v>1</v>
      </c>
      <c r="AJ15" s="203">
        <f>IF(AH15=$C15,$C15,IF(AI15&gt;0,AI15*$C15,$C15*AI15))</f>
        <v>4315552.5</v>
      </c>
      <c r="AK15" s="156"/>
      <c r="AL15" s="203">
        <f>IF(AJ15=$C15,$C15,IF(AK15&gt;0,AK15*$C15,$C15*AK15))</f>
        <v>4315552.5</v>
      </c>
      <c r="AM15" s="156"/>
      <c r="AN15" s="203">
        <f>IF(AL15=$C15,$C15,IF(AM15&gt;0,AM15*$C15,$C15*AM15))</f>
        <v>4315552.5</v>
      </c>
    </row>
    <row r="16" spans="1:40" s="183" customFormat="1" x14ac:dyDescent="0.25">
      <c r="A16" s="4"/>
      <c r="B16" s="4" t="s">
        <v>120</v>
      </c>
      <c r="C16" s="200">
        <f>+SUMIF(Info!A:A,B16,Info!I:I)</f>
        <v>75000</v>
      </c>
      <c r="D16" s="200">
        <f>+SUMIF(Info!W:W,B16,Info!$U:$U)</f>
        <v>0</v>
      </c>
      <c r="E16" s="245">
        <v>1</v>
      </c>
      <c r="F16" s="246">
        <v>75000</v>
      </c>
      <c r="G16" s="245">
        <v>1</v>
      </c>
      <c r="H16" s="246">
        <v>75000</v>
      </c>
      <c r="I16" s="245">
        <v>1</v>
      </c>
      <c r="J16" s="246">
        <v>75000</v>
      </c>
      <c r="K16" s="245">
        <v>1</v>
      </c>
      <c r="L16" s="246">
        <v>75000</v>
      </c>
      <c r="M16" s="245">
        <v>1</v>
      </c>
      <c r="N16" s="246">
        <v>75000</v>
      </c>
      <c r="O16" s="245">
        <v>1</v>
      </c>
      <c r="P16" s="246">
        <v>75000</v>
      </c>
      <c r="Q16" s="245">
        <v>1</v>
      </c>
      <c r="R16" s="246">
        <v>75000</v>
      </c>
      <c r="S16" s="245">
        <v>1</v>
      </c>
      <c r="T16" s="246">
        <v>75000</v>
      </c>
      <c r="U16" s="245">
        <v>1</v>
      </c>
      <c r="V16" s="246">
        <v>75000</v>
      </c>
      <c r="W16" s="245">
        <v>1</v>
      </c>
      <c r="X16" s="246">
        <v>75000</v>
      </c>
      <c r="Y16" s="245">
        <f t="shared" si="0"/>
        <v>1</v>
      </c>
      <c r="Z16" s="246">
        <f>SUMIF(Info!$A:$A,Cashflow!$B16,Info!$J:$J)</f>
        <v>75000</v>
      </c>
      <c r="AA16" s="155"/>
      <c r="AB16" s="201">
        <f>IF(Z16=$C16,$C16,IF(AA16&gt;0,AA16*$C16,$C16*AA16))</f>
        <v>75000</v>
      </c>
      <c r="AC16" s="155"/>
      <c r="AD16" s="201">
        <f>IF(AB16=$C16,$C16,IF(AC16&gt;0,AC16*$C16,$C16*AC16))</f>
        <v>75000</v>
      </c>
      <c r="AE16" s="155"/>
      <c r="AF16" s="201">
        <f>IF(AD16=$C16,$C16,IF(AE16&gt;0,AE16*$C16,$C16*AE16))</f>
        <v>75000</v>
      </c>
      <c r="AG16" s="155"/>
      <c r="AH16" s="201">
        <f>IF(AF16=$C16,$C16,IF(AG16&gt;0,AG16*$C16,$C16*AG16))</f>
        <v>75000</v>
      </c>
      <c r="AI16" s="155"/>
      <c r="AJ16" s="201">
        <f>IF(AH16=$C16,$C16,IF(AI16&gt;0,AI16*$C16,$C16*AI16))</f>
        <v>75000</v>
      </c>
      <c r="AK16" s="155"/>
      <c r="AL16" s="201">
        <f>IF(AJ16=$C16,$C16,IF(AK16&gt;0,AK16*$C16,$C16*AK16))</f>
        <v>75000</v>
      </c>
      <c r="AM16" s="155"/>
      <c r="AN16" s="201">
        <f>IF(AL16=$C16,$C16,IF(AM16&gt;0,AM16*$C16,$C16*AM16))</f>
        <v>75000</v>
      </c>
    </row>
    <row r="17" spans="1:40" s="183" customFormat="1" x14ac:dyDescent="0.25">
      <c r="A17" s="195"/>
      <c r="B17" s="196" t="s">
        <v>24</v>
      </c>
      <c r="C17" s="197"/>
      <c r="D17" s="198"/>
      <c r="E17" s="241" t="s">
        <v>463</v>
      </c>
      <c r="F17" s="242">
        <v>0</v>
      </c>
      <c r="G17" s="241" t="s">
        <v>463</v>
      </c>
      <c r="H17" s="242">
        <v>0</v>
      </c>
      <c r="I17" s="241" t="s">
        <v>463</v>
      </c>
      <c r="J17" s="242">
        <v>0</v>
      </c>
      <c r="K17" s="241" t="s">
        <v>463</v>
      </c>
      <c r="L17" s="242">
        <v>0</v>
      </c>
      <c r="M17" s="241" t="s">
        <v>463</v>
      </c>
      <c r="N17" s="242">
        <v>0</v>
      </c>
      <c r="O17" s="241" t="s">
        <v>463</v>
      </c>
      <c r="P17" s="242">
        <v>0</v>
      </c>
      <c r="Q17" s="241" t="s">
        <v>463</v>
      </c>
      <c r="R17" s="242">
        <v>0</v>
      </c>
      <c r="S17" s="241" t="s">
        <v>463</v>
      </c>
      <c r="T17" s="242">
        <v>0</v>
      </c>
      <c r="U17" s="241" t="s">
        <v>463</v>
      </c>
      <c r="V17" s="242">
        <v>0</v>
      </c>
      <c r="W17" s="241" t="s">
        <v>463</v>
      </c>
      <c r="X17" s="242">
        <v>0</v>
      </c>
      <c r="Y17" s="241">
        <f t="shared" si="0"/>
        <v>0</v>
      </c>
      <c r="Z17" s="242">
        <f>SUMIF(Info!$A:$A,Cashflow!$B17,Info!$J:$J)</f>
        <v>0</v>
      </c>
      <c r="AA17" s="154"/>
      <c r="AB17" s="199"/>
      <c r="AC17" s="154"/>
      <c r="AD17" s="199"/>
      <c r="AE17" s="154"/>
      <c r="AF17" s="199"/>
      <c r="AG17" s="154"/>
      <c r="AH17" s="199"/>
      <c r="AI17" s="154"/>
      <c r="AJ17" s="199"/>
      <c r="AK17" s="154"/>
      <c r="AL17" s="199"/>
      <c r="AM17" s="154"/>
      <c r="AN17" s="199"/>
    </row>
    <row r="18" spans="1:40" s="183" customFormat="1" x14ac:dyDescent="0.25">
      <c r="A18" s="2"/>
      <c r="B18" s="2" t="s">
        <v>124</v>
      </c>
      <c r="C18" s="202">
        <f>+SUMIF(Info!A:A,B18,Info!I:I)</f>
        <v>201242</v>
      </c>
      <c r="D18" s="202">
        <f>+SUMIF(Info!W:W,B18,Info!$U:$U)</f>
        <v>0</v>
      </c>
      <c r="E18" s="243">
        <v>0.10827759612804484</v>
      </c>
      <c r="F18" s="244">
        <v>21790</v>
      </c>
      <c r="G18" s="243">
        <v>0.64332743661859848</v>
      </c>
      <c r="H18" s="244">
        <v>129464.5</v>
      </c>
      <c r="I18" s="243">
        <v>0.86839998608640334</v>
      </c>
      <c r="J18" s="244">
        <v>174758.55</v>
      </c>
      <c r="K18" s="243">
        <v>0.87170560817324416</v>
      </c>
      <c r="L18" s="244">
        <v>175423.78</v>
      </c>
      <c r="M18" s="243">
        <v>0.87170560817324416</v>
      </c>
      <c r="N18" s="244">
        <v>175423.78</v>
      </c>
      <c r="O18" s="243">
        <v>0.87170560817324416</v>
      </c>
      <c r="P18" s="244">
        <v>175423.78</v>
      </c>
      <c r="Q18" s="243">
        <v>0.87170560817324416</v>
      </c>
      <c r="R18" s="244">
        <v>175423.78</v>
      </c>
      <c r="S18" s="243">
        <v>0.87170560817324416</v>
      </c>
      <c r="T18" s="244">
        <v>175423.78</v>
      </c>
      <c r="U18" s="243">
        <v>0.87170560817324416</v>
      </c>
      <c r="V18" s="244">
        <v>175423.78</v>
      </c>
      <c r="W18" s="243">
        <v>0.87170560817324416</v>
      </c>
      <c r="X18" s="244">
        <v>175423.78</v>
      </c>
      <c r="Y18" s="243">
        <f t="shared" si="0"/>
        <v>0.87170560817324416</v>
      </c>
      <c r="Z18" s="244">
        <f>SUMIF(Info!$A:$A,Cashflow!$B18,Info!$J:$J)</f>
        <v>175423.78</v>
      </c>
      <c r="AA18" s="156">
        <v>0.88</v>
      </c>
      <c r="AB18" s="203">
        <f t="shared" ref="AB18:AB70" si="1">IF(Z18=$C18,$C18,IF(AA18&gt;0,AA18*$C18,$C18*AA18))</f>
        <v>177092.96</v>
      </c>
      <c r="AC18" s="156">
        <v>0.88</v>
      </c>
      <c r="AD18" s="203">
        <f t="shared" ref="AD18:AD70" si="2">IF(AB18=$C18,$C18,IF(AC18&gt;0,AC18*$C18,$C18*AC18))</f>
        <v>177092.96</v>
      </c>
      <c r="AE18" s="156">
        <v>1</v>
      </c>
      <c r="AF18" s="203">
        <f t="shared" ref="AF18:AF70" si="3">IF(AD18=$C18,$C18,IF(AE18&gt;0,AE18*$C18,$C18*AE18))</f>
        <v>201242</v>
      </c>
      <c r="AG18" s="156"/>
      <c r="AH18" s="203">
        <f t="shared" ref="AH18:AH70" si="4">IF(AF18=$C18,$C18,IF(AG18&gt;0,AG18*$C18,$C18*AG18))</f>
        <v>201242</v>
      </c>
      <c r="AI18" s="156"/>
      <c r="AJ18" s="203">
        <f t="shared" ref="AJ18:AJ68" si="5">IF(AH18=$C18,$C18,IF(AI18&gt;0,AI18*$C18,$C18*AI18))</f>
        <v>201242</v>
      </c>
      <c r="AK18" s="156"/>
      <c r="AL18" s="203">
        <f t="shared" ref="AL18:AL68" si="6">IF(AJ18=$C18,$C18,IF(AK18&gt;0,AK18*$C18,$C18*AK18))</f>
        <v>201242</v>
      </c>
      <c r="AM18" s="156"/>
      <c r="AN18" s="203">
        <f t="shared" ref="AN18:AN68" si="7">IF(AL18=$C18,$C18,IF(AM18&gt;0,AM18*$C18,$C18*AM18))</f>
        <v>201242</v>
      </c>
    </row>
    <row r="19" spans="1:40" s="183" customFormat="1" x14ac:dyDescent="0.25">
      <c r="A19" s="4"/>
      <c r="B19" s="4" t="s">
        <v>125</v>
      </c>
      <c r="C19" s="200">
        <f>+SUMIF(Info!A:A,B19,Info!I:I)</f>
        <v>1349563</v>
      </c>
      <c r="D19" s="200">
        <f>+SUMIF(Info!W:W,B19,Info!$U:$U)</f>
        <v>0</v>
      </c>
      <c r="E19" s="245" t="s">
        <v>463</v>
      </c>
      <c r="F19" s="246">
        <v>0</v>
      </c>
      <c r="G19" s="245">
        <v>6.0687481799664038E-2</v>
      </c>
      <c r="H19" s="246">
        <v>81901.58</v>
      </c>
      <c r="I19" s="245">
        <v>0.80378432129511557</v>
      </c>
      <c r="J19" s="246">
        <v>1084757.58</v>
      </c>
      <c r="K19" s="245">
        <v>0.95339999688788157</v>
      </c>
      <c r="L19" s="246">
        <v>1286673.3600000001</v>
      </c>
      <c r="M19" s="245">
        <v>1</v>
      </c>
      <c r="N19" s="246">
        <v>1349563</v>
      </c>
      <c r="O19" s="245">
        <v>1</v>
      </c>
      <c r="P19" s="246">
        <v>1349563</v>
      </c>
      <c r="Q19" s="245">
        <v>1</v>
      </c>
      <c r="R19" s="246">
        <v>1349563</v>
      </c>
      <c r="S19" s="245">
        <v>1</v>
      </c>
      <c r="T19" s="246">
        <v>1349563</v>
      </c>
      <c r="U19" s="245">
        <v>1</v>
      </c>
      <c r="V19" s="246">
        <v>1349563</v>
      </c>
      <c r="W19" s="245">
        <v>1</v>
      </c>
      <c r="X19" s="246">
        <v>1349563</v>
      </c>
      <c r="Y19" s="245">
        <f t="shared" si="0"/>
        <v>1</v>
      </c>
      <c r="Z19" s="246">
        <f>SUMIF(Info!$A:$A,Cashflow!$B19,Info!$J:$J)</f>
        <v>1349563</v>
      </c>
      <c r="AA19" s="155"/>
      <c r="AB19" s="201">
        <f t="shared" si="1"/>
        <v>1349563</v>
      </c>
      <c r="AC19" s="155"/>
      <c r="AD19" s="201">
        <f t="shared" si="2"/>
        <v>1349563</v>
      </c>
      <c r="AE19" s="155"/>
      <c r="AF19" s="201">
        <f t="shared" si="3"/>
        <v>1349563</v>
      </c>
      <c r="AG19" s="155"/>
      <c r="AH19" s="201">
        <f t="shared" si="4"/>
        <v>1349563</v>
      </c>
      <c r="AI19" s="155"/>
      <c r="AJ19" s="201">
        <f t="shared" si="5"/>
        <v>1349563</v>
      </c>
      <c r="AK19" s="155"/>
      <c r="AL19" s="201">
        <f t="shared" si="6"/>
        <v>1349563</v>
      </c>
      <c r="AM19" s="155"/>
      <c r="AN19" s="201">
        <f t="shared" si="7"/>
        <v>1349563</v>
      </c>
    </row>
    <row r="20" spans="1:40" s="183" customFormat="1" x14ac:dyDescent="0.25">
      <c r="A20" s="2"/>
      <c r="B20" s="2" t="s">
        <v>127</v>
      </c>
      <c r="C20" s="202">
        <f>+SUMIF(Info!A:A,B20,Info!I:I)</f>
        <v>8580</v>
      </c>
      <c r="D20" s="202">
        <f>+SUMIF(Info!W:W,B20,Info!$U:$U)</f>
        <v>0</v>
      </c>
      <c r="E20" s="243" t="s">
        <v>463</v>
      </c>
      <c r="F20" s="244">
        <v>0</v>
      </c>
      <c r="G20" s="243" t="s">
        <v>463</v>
      </c>
      <c r="H20" s="244">
        <v>0</v>
      </c>
      <c r="I20" s="243" t="s">
        <v>463</v>
      </c>
      <c r="J20" s="244">
        <v>0</v>
      </c>
      <c r="K20" s="243" t="s">
        <v>463</v>
      </c>
      <c r="L20" s="244">
        <v>0</v>
      </c>
      <c r="M20" s="243">
        <v>1</v>
      </c>
      <c r="N20" s="244">
        <v>8580</v>
      </c>
      <c r="O20" s="243">
        <v>1</v>
      </c>
      <c r="P20" s="244">
        <v>8580</v>
      </c>
      <c r="Q20" s="243">
        <v>1</v>
      </c>
      <c r="R20" s="244">
        <v>8580</v>
      </c>
      <c r="S20" s="243">
        <v>1</v>
      </c>
      <c r="T20" s="244">
        <v>8580</v>
      </c>
      <c r="U20" s="243">
        <v>1</v>
      </c>
      <c r="V20" s="244">
        <v>8580</v>
      </c>
      <c r="W20" s="243">
        <v>1</v>
      </c>
      <c r="X20" s="244">
        <v>8580</v>
      </c>
      <c r="Y20" s="243">
        <f t="shared" si="0"/>
        <v>1</v>
      </c>
      <c r="Z20" s="244">
        <f>SUMIF(Info!$A:$A,Cashflow!$B20,Info!$J:$J)</f>
        <v>8580</v>
      </c>
      <c r="AA20" s="156"/>
      <c r="AB20" s="203">
        <f t="shared" si="1"/>
        <v>8580</v>
      </c>
      <c r="AC20" s="156"/>
      <c r="AD20" s="203">
        <f t="shared" si="2"/>
        <v>8580</v>
      </c>
      <c r="AE20" s="156"/>
      <c r="AF20" s="203">
        <f t="shared" si="3"/>
        <v>8580</v>
      </c>
      <c r="AG20" s="156"/>
      <c r="AH20" s="203">
        <f t="shared" si="4"/>
        <v>8580</v>
      </c>
      <c r="AI20" s="156"/>
      <c r="AJ20" s="203">
        <f t="shared" si="5"/>
        <v>8580</v>
      </c>
      <c r="AK20" s="156"/>
      <c r="AL20" s="203">
        <f t="shared" si="6"/>
        <v>8580</v>
      </c>
      <c r="AM20" s="156"/>
      <c r="AN20" s="203">
        <f t="shared" si="7"/>
        <v>8580</v>
      </c>
    </row>
    <row r="21" spans="1:40" s="183" customFormat="1" x14ac:dyDescent="0.25">
      <c r="A21" s="4"/>
      <c r="B21" s="4" t="s">
        <v>129</v>
      </c>
      <c r="C21" s="200">
        <f>+SUMIF(Info!A:A,B21,Info!I:I)</f>
        <v>91545</v>
      </c>
      <c r="D21" s="200">
        <f>+SUMIF(Info!W:W,B21,Info!$U:$U)</f>
        <v>0</v>
      </c>
      <c r="E21" s="245" t="s">
        <v>463</v>
      </c>
      <c r="F21" s="246">
        <v>0</v>
      </c>
      <c r="G21" s="245" t="s">
        <v>463</v>
      </c>
      <c r="H21" s="246">
        <v>0</v>
      </c>
      <c r="I21" s="245">
        <v>0.3</v>
      </c>
      <c r="J21" s="246">
        <v>27463.5</v>
      </c>
      <c r="K21" s="245">
        <v>0.85</v>
      </c>
      <c r="L21" s="246">
        <v>77813.25</v>
      </c>
      <c r="M21" s="245">
        <v>1</v>
      </c>
      <c r="N21" s="246">
        <v>91545</v>
      </c>
      <c r="O21" s="245">
        <v>1</v>
      </c>
      <c r="P21" s="246">
        <v>91545</v>
      </c>
      <c r="Q21" s="245">
        <v>1</v>
      </c>
      <c r="R21" s="246">
        <v>91545</v>
      </c>
      <c r="S21" s="245">
        <v>1</v>
      </c>
      <c r="T21" s="246">
        <v>91545</v>
      </c>
      <c r="U21" s="245">
        <v>1</v>
      </c>
      <c r="V21" s="246">
        <v>91545</v>
      </c>
      <c r="W21" s="245">
        <v>1</v>
      </c>
      <c r="X21" s="246">
        <v>91545</v>
      </c>
      <c r="Y21" s="245">
        <f t="shared" si="0"/>
        <v>1</v>
      </c>
      <c r="Z21" s="246">
        <f>SUMIF(Info!$A:$A,Cashflow!$B21,Info!$J:$J)</f>
        <v>91545</v>
      </c>
      <c r="AA21" s="155"/>
      <c r="AB21" s="201">
        <f>IF(Z21=$C21,$C21,IF(AA21&gt;0,AA21*$C21,$C21*AA21))</f>
        <v>91545</v>
      </c>
      <c r="AC21" s="155"/>
      <c r="AD21" s="201">
        <f>IF(AB21=$C21,$C21,IF(AC21&gt;0,AC21*$C21,$C21*AC21))</f>
        <v>91545</v>
      </c>
      <c r="AE21" s="155"/>
      <c r="AF21" s="201">
        <f>IF(AD21=$C21,$C21,IF(AE21&gt;0,AE21*$C21,$C21*AE21))</f>
        <v>91545</v>
      </c>
      <c r="AG21" s="155"/>
      <c r="AH21" s="201">
        <f>IF(AF21=$C21,$C21,IF(AG21&gt;0,AG21*$C21,$C21*AG21))</f>
        <v>91545</v>
      </c>
      <c r="AI21" s="155"/>
      <c r="AJ21" s="201">
        <f>IF(AH21=$C21,$C21,IF(AI21&gt;0,AI21*$C21,$C21*AI21))</f>
        <v>91545</v>
      </c>
      <c r="AK21" s="155"/>
      <c r="AL21" s="201">
        <f>IF(AJ21=$C21,$C21,IF(AK21&gt;0,AK21*$C21,$C21*AK21))</f>
        <v>91545</v>
      </c>
      <c r="AM21" s="155"/>
      <c r="AN21" s="201">
        <f>IF(AL21=$C21,$C21,IF(AM21&gt;0,AM21*$C21,$C21*AM21))</f>
        <v>91545</v>
      </c>
    </row>
    <row r="22" spans="1:40" s="183" customFormat="1" x14ac:dyDescent="0.25">
      <c r="A22" s="2"/>
      <c r="B22" s="2" t="s">
        <v>131</v>
      </c>
      <c r="C22" s="202">
        <f>+SUMIF(Info!A:A,B22,Info!I:I)</f>
        <v>538076</v>
      </c>
      <c r="D22" s="202">
        <f>+SUMIF(Info!W:W,B22,Info!$U:$U)</f>
        <v>0</v>
      </c>
      <c r="E22" s="243" t="s">
        <v>463</v>
      </c>
      <c r="F22" s="244">
        <v>0</v>
      </c>
      <c r="G22" s="243" t="s">
        <v>463</v>
      </c>
      <c r="H22" s="244">
        <v>0</v>
      </c>
      <c r="I22" s="243" t="s">
        <v>463</v>
      </c>
      <c r="J22" s="244">
        <v>0</v>
      </c>
      <c r="K22" s="243">
        <v>0.1229999851322118</v>
      </c>
      <c r="L22" s="244">
        <v>66183.34</v>
      </c>
      <c r="M22" s="243">
        <v>0.28189999182271647</v>
      </c>
      <c r="N22" s="244">
        <v>151683.62</v>
      </c>
      <c r="O22" s="243">
        <v>0.48460000074338944</v>
      </c>
      <c r="P22" s="244">
        <v>260751.63</v>
      </c>
      <c r="Q22" s="243">
        <v>0.59449999628305294</v>
      </c>
      <c r="R22" s="244">
        <v>319886.18</v>
      </c>
      <c r="S22" s="243">
        <v>0.70509998587560119</v>
      </c>
      <c r="T22" s="244">
        <v>379397.38</v>
      </c>
      <c r="U22" s="243">
        <v>0.81989999553966353</v>
      </c>
      <c r="V22" s="244">
        <v>441168.51</v>
      </c>
      <c r="W22" s="243">
        <v>0.89139998810576948</v>
      </c>
      <c r="X22" s="244">
        <v>479640.94</v>
      </c>
      <c r="Y22" s="243">
        <f t="shared" si="0"/>
        <v>0.89139998810576948</v>
      </c>
      <c r="Z22" s="244">
        <f>SUMIF(Info!$A:$A,Cashflow!$B22,Info!$J:$J)</f>
        <v>479640.94</v>
      </c>
      <c r="AA22" s="156">
        <v>0.89139999999999997</v>
      </c>
      <c r="AB22" s="203">
        <f>IF(Z22=$C22,$C22,IF(AA22&gt;0,AA22*$C22,$C22*AA22))</f>
        <v>479640.94639999996</v>
      </c>
      <c r="AC22" s="156">
        <v>0.89139999999999997</v>
      </c>
      <c r="AD22" s="203">
        <f>IF(AB22=$C22,$C22,IF(AC22&gt;0,AC22*$C22,$C22*AC22))</f>
        <v>479640.94639999996</v>
      </c>
      <c r="AE22" s="156">
        <v>0.94</v>
      </c>
      <c r="AF22" s="203">
        <f>IF(AD22=$C22,$C22,IF(AE22&gt;0,AE22*$C22,$C22*AE22))</f>
        <v>505791.43999999994</v>
      </c>
      <c r="AG22" s="156">
        <v>1</v>
      </c>
      <c r="AH22" s="203">
        <f>IF(AF22=$C22,$C22,IF(AG22&gt;0,AG22*$C22,$C22*AG22))</f>
        <v>538076</v>
      </c>
      <c r="AI22" s="156"/>
      <c r="AJ22" s="203">
        <f>IF(AH22=$C22,$C22,IF(AI22&gt;0,AI22*$C22,$C22*AI22))</f>
        <v>538076</v>
      </c>
      <c r="AK22" s="156"/>
      <c r="AL22" s="203">
        <f>IF(AJ22=$C22,$C22,IF(AK22&gt;0,AK22*$C22,$C22*AK22))</f>
        <v>538076</v>
      </c>
      <c r="AM22" s="156"/>
      <c r="AN22" s="203">
        <f>IF(AL22=$C22,$C22,IF(AM22&gt;0,AM22*$C22,$C22*AM22))</f>
        <v>538076</v>
      </c>
    </row>
    <row r="23" spans="1:40" s="183" customFormat="1" x14ac:dyDescent="0.25">
      <c r="A23" s="4"/>
      <c r="B23" s="4" t="s">
        <v>134</v>
      </c>
      <c r="C23" s="200">
        <f>+SUMIF(Info!A:A,B23,Info!I:I)</f>
        <v>529368</v>
      </c>
      <c r="D23" s="200">
        <f>+SUMIF(Info!W:W,B23,Info!$U:$U)</f>
        <v>0</v>
      </c>
      <c r="E23" s="245" t="s">
        <v>463</v>
      </c>
      <c r="F23" s="246">
        <v>0</v>
      </c>
      <c r="G23" s="245" t="s">
        <v>463</v>
      </c>
      <c r="H23" s="246">
        <v>0</v>
      </c>
      <c r="I23" s="245" t="s">
        <v>463</v>
      </c>
      <c r="J23" s="246">
        <v>0</v>
      </c>
      <c r="K23" s="245">
        <v>7.29999924438198E-2</v>
      </c>
      <c r="L23" s="246">
        <v>38643.86</v>
      </c>
      <c r="M23" s="245">
        <v>0.29319998564325761</v>
      </c>
      <c r="N23" s="246">
        <v>155210.69</v>
      </c>
      <c r="O23" s="245">
        <v>0.45019999319943782</v>
      </c>
      <c r="P23" s="246">
        <v>238321.47</v>
      </c>
      <c r="Q23" s="245">
        <v>0.53529999924438199</v>
      </c>
      <c r="R23" s="246">
        <v>283370.69</v>
      </c>
      <c r="S23" s="245">
        <v>0.62789998639887556</v>
      </c>
      <c r="T23" s="246">
        <v>332390.15999999997</v>
      </c>
      <c r="U23" s="245">
        <v>0.73929999546629188</v>
      </c>
      <c r="V23" s="246">
        <v>391361.76</v>
      </c>
      <c r="W23" s="245">
        <v>0.79709999471067383</v>
      </c>
      <c r="X23" s="246">
        <v>421959.23</v>
      </c>
      <c r="Y23" s="245">
        <f t="shared" si="0"/>
        <v>0.79709999471067383</v>
      </c>
      <c r="Z23" s="246">
        <f>SUMIF(Info!$A:$A,Cashflow!$B23,Info!$J:$J)</f>
        <v>421959.23</v>
      </c>
      <c r="AA23" s="155">
        <v>0.79800000000000004</v>
      </c>
      <c r="AB23" s="201">
        <f t="shared" si="1"/>
        <v>422435.66400000005</v>
      </c>
      <c r="AC23" s="155">
        <v>0.79800000000000004</v>
      </c>
      <c r="AD23" s="201">
        <f t="shared" si="2"/>
        <v>422435.66400000005</v>
      </c>
      <c r="AE23" s="155">
        <v>0.94</v>
      </c>
      <c r="AF23" s="201">
        <f t="shared" si="3"/>
        <v>497605.92</v>
      </c>
      <c r="AG23" s="155">
        <v>1</v>
      </c>
      <c r="AH23" s="201">
        <f t="shared" si="4"/>
        <v>529368</v>
      </c>
      <c r="AI23" s="155"/>
      <c r="AJ23" s="201">
        <f t="shared" si="5"/>
        <v>529368</v>
      </c>
      <c r="AK23" s="155"/>
      <c r="AL23" s="201">
        <f t="shared" si="6"/>
        <v>529368</v>
      </c>
      <c r="AM23" s="155"/>
      <c r="AN23" s="201">
        <f t="shared" si="7"/>
        <v>529368</v>
      </c>
    </row>
    <row r="24" spans="1:40" s="183" customFormat="1" x14ac:dyDescent="0.25">
      <c r="A24" s="2"/>
      <c r="B24" s="2" t="s">
        <v>136</v>
      </c>
      <c r="C24" s="202">
        <f>+SUMIF(Info!A:A,B24,Info!I:I)</f>
        <v>143597</v>
      </c>
      <c r="D24" s="202">
        <f>+SUMIF(Info!W:W,B24,Info!$U:$U)</f>
        <v>0</v>
      </c>
      <c r="E24" s="243" t="s">
        <v>463</v>
      </c>
      <c r="F24" s="244">
        <v>0</v>
      </c>
      <c r="G24" s="243" t="s">
        <v>463</v>
      </c>
      <c r="H24" s="244">
        <v>0</v>
      </c>
      <c r="I24" s="243" t="s">
        <v>463</v>
      </c>
      <c r="J24" s="244">
        <v>0</v>
      </c>
      <c r="K24" s="243">
        <v>0.12299999303606622</v>
      </c>
      <c r="L24" s="244">
        <v>17662.43</v>
      </c>
      <c r="M24" s="243">
        <v>0.2617999679659046</v>
      </c>
      <c r="N24" s="244">
        <v>37593.69</v>
      </c>
      <c r="O24" s="243">
        <v>0.43389994219934958</v>
      </c>
      <c r="P24" s="244">
        <v>62306.73</v>
      </c>
      <c r="Q24" s="243">
        <v>0.53959999164327943</v>
      </c>
      <c r="R24" s="244">
        <v>77484.94</v>
      </c>
      <c r="S24" s="243">
        <v>0.65699993732459594</v>
      </c>
      <c r="T24" s="244">
        <v>94343.22</v>
      </c>
      <c r="U24" s="243">
        <v>0.79319999721442647</v>
      </c>
      <c r="V24" s="244">
        <v>113901.14</v>
      </c>
      <c r="W24" s="243">
        <v>0.86229997841180528</v>
      </c>
      <c r="X24" s="244">
        <v>123823.69</v>
      </c>
      <c r="Y24" s="243">
        <f t="shared" si="0"/>
        <v>0.86229997841180528</v>
      </c>
      <c r="Z24" s="244">
        <f>SUMIF(Info!$A:$A,Cashflow!$B24,Info!$J:$J)</f>
        <v>123823.69</v>
      </c>
      <c r="AA24" s="156">
        <v>0.86229999999999996</v>
      </c>
      <c r="AB24" s="203">
        <f t="shared" si="1"/>
        <v>123823.69309999999</v>
      </c>
      <c r="AC24" s="156">
        <v>0.86</v>
      </c>
      <c r="AD24" s="203">
        <f t="shared" si="2"/>
        <v>123493.42</v>
      </c>
      <c r="AE24" s="156">
        <v>0.94</v>
      </c>
      <c r="AF24" s="203">
        <f t="shared" si="3"/>
        <v>134981.18</v>
      </c>
      <c r="AG24" s="156">
        <v>1</v>
      </c>
      <c r="AH24" s="203">
        <f t="shared" si="4"/>
        <v>143597</v>
      </c>
      <c r="AI24" s="156"/>
      <c r="AJ24" s="203">
        <f t="shared" si="5"/>
        <v>143597</v>
      </c>
      <c r="AK24" s="156"/>
      <c r="AL24" s="203">
        <f t="shared" si="6"/>
        <v>143597</v>
      </c>
      <c r="AM24" s="156"/>
      <c r="AN24" s="203">
        <f t="shared" si="7"/>
        <v>143597</v>
      </c>
    </row>
    <row r="25" spans="1:40" s="183" customFormat="1" x14ac:dyDescent="0.25">
      <c r="A25" s="4"/>
      <c r="B25" s="4" t="s">
        <v>138</v>
      </c>
      <c r="C25" s="200">
        <f>+SUMIF(Info!A:A,B25,Info!I:I)</f>
        <v>62421</v>
      </c>
      <c r="D25" s="200">
        <f>+SUMIF(Info!W:W,B25,Info!$U:$U)</f>
        <v>0</v>
      </c>
      <c r="E25" s="245" t="s">
        <v>463</v>
      </c>
      <c r="F25" s="246">
        <v>0</v>
      </c>
      <c r="G25" s="245" t="s">
        <v>463</v>
      </c>
      <c r="H25" s="246">
        <v>0</v>
      </c>
      <c r="I25" s="245" t="s">
        <v>463</v>
      </c>
      <c r="J25" s="246">
        <v>0</v>
      </c>
      <c r="K25" s="245">
        <v>0.12299995193925121</v>
      </c>
      <c r="L25" s="246">
        <v>7677.78</v>
      </c>
      <c r="M25" s="245">
        <v>0.26299995193925124</v>
      </c>
      <c r="N25" s="246">
        <v>16416.72</v>
      </c>
      <c r="O25" s="245">
        <v>0.47079989106230274</v>
      </c>
      <c r="P25" s="246">
        <v>29387.8</v>
      </c>
      <c r="Q25" s="245">
        <v>0.52949984780762893</v>
      </c>
      <c r="R25" s="246">
        <v>33051.910000000003</v>
      </c>
      <c r="S25" s="245">
        <v>0.63399993591900172</v>
      </c>
      <c r="T25" s="246">
        <v>39574.910000000003</v>
      </c>
      <c r="U25" s="245">
        <v>0.79809999839797496</v>
      </c>
      <c r="V25" s="246">
        <v>49818.2</v>
      </c>
      <c r="W25" s="245">
        <v>0.89</v>
      </c>
      <c r="X25" s="246">
        <v>55554.69</v>
      </c>
      <c r="Y25" s="245">
        <f t="shared" si="0"/>
        <v>0.89</v>
      </c>
      <c r="Z25" s="246">
        <f>SUMIF(Info!$A:$A,Cashflow!$B25,Info!$J:$J)</f>
        <v>55554.69</v>
      </c>
      <c r="AA25" s="155">
        <v>0.89</v>
      </c>
      <c r="AB25" s="201">
        <f t="shared" si="1"/>
        <v>55554.69</v>
      </c>
      <c r="AC25" s="155">
        <v>0.89</v>
      </c>
      <c r="AD25" s="201">
        <f t="shared" si="2"/>
        <v>55554.69</v>
      </c>
      <c r="AE25" s="155">
        <v>0.94</v>
      </c>
      <c r="AF25" s="201">
        <f t="shared" si="3"/>
        <v>58675.74</v>
      </c>
      <c r="AG25" s="155">
        <v>1</v>
      </c>
      <c r="AH25" s="201">
        <f t="shared" si="4"/>
        <v>62421</v>
      </c>
      <c r="AI25" s="155"/>
      <c r="AJ25" s="201">
        <f t="shared" si="5"/>
        <v>62421</v>
      </c>
      <c r="AK25" s="155"/>
      <c r="AL25" s="201">
        <f t="shared" si="6"/>
        <v>62421</v>
      </c>
      <c r="AM25" s="155"/>
      <c r="AN25" s="201">
        <f t="shared" si="7"/>
        <v>62421</v>
      </c>
    </row>
    <row r="26" spans="1:40" s="183" customFormat="1" x14ac:dyDescent="0.25">
      <c r="A26" s="2"/>
      <c r="B26" s="2" t="s">
        <v>143</v>
      </c>
      <c r="C26" s="202">
        <f>+SUMIF(Info!A:A,B26,Info!I:I)</f>
        <v>727261</v>
      </c>
      <c r="D26" s="202">
        <f>+SUMIF(Info!W:W,B26,Info!$U:$U)</f>
        <v>0</v>
      </c>
      <c r="E26" s="243" t="s">
        <v>463</v>
      </c>
      <c r="F26" s="244">
        <v>0</v>
      </c>
      <c r="G26" s="243" t="s">
        <v>463</v>
      </c>
      <c r="H26" s="244">
        <v>0</v>
      </c>
      <c r="I26" s="243" t="s">
        <v>463</v>
      </c>
      <c r="J26" s="244">
        <v>0</v>
      </c>
      <c r="K26" s="243">
        <v>7.2699993537395799E-2</v>
      </c>
      <c r="L26" s="244">
        <v>52871.87</v>
      </c>
      <c r="M26" s="243">
        <v>0.22229999958749333</v>
      </c>
      <c r="N26" s="244">
        <v>161670.12</v>
      </c>
      <c r="O26" s="243">
        <v>0.47880000440007098</v>
      </c>
      <c r="P26" s="244">
        <v>348212.57</v>
      </c>
      <c r="Q26" s="243">
        <v>0.57719998734979594</v>
      </c>
      <c r="R26" s="244">
        <v>419775.04</v>
      </c>
      <c r="S26" s="243">
        <v>0.7173999980749689</v>
      </c>
      <c r="T26" s="244">
        <v>521737.04</v>
      </c>
      <c r="U26" s="243">
        <v>0.9150999984874757</v>
      </c>
      <c r="V26" s="244">
        <v>665516.54</v>
      </c>
      <c r="W26" s="243">
        <v>0.96439998844981378</v>
      </c>
      <c r="X26" s="244">
        <v>701370.5</v>
      </c>
      <c r="Y26" s="243">
        <f t="shared" si="0"/>
        <v>0.96439998844981378</v>
      </c>
      <c r="Z26" s="244">
        <f>SUMIF(Info!$A:$A,Cashflow!$B26,Info!$J:$J)</f>
        <v>701370.5</v>
      </c>
      <c r="AA26" s="156">
        <v>0.96499999999999997</v>
      </c>
      <c r="AB26" s="203">
        <f t="shared" si="1"/>
        <v>701806.86499999999</v>
      </c>
      <c r="AC26" s="156">
        <v>0.96499999999999997</v>
      </c>
      <c r="AD26" s="203">
        <f t="shared" si="2"/>
        <v>701806.86499999999</v>
      </c>
      <c r="AE26" s="156">
        <v>0.97499999999999998</v>
      </c>
      <c r="AF26" s="203">
        <f t="shared" si="3"/>
        <v>709079.47499999998</v>
      </c>
      <c r="AG26" s="156">
        <v>1</v>
      </c>
      <c r="AH26" s="203">
        <f t="shared" si="4"/>
        <v>727261</v>
      </c>
      <c r="AI26" s="156"/>
      <c r="AJ26" s="203">
        <f t="shared" si="5"/>
        <v>727261</v>
      </c>
      <c r="AK26" s="156"/>
      <c r="AL26" s="203">
        <f t="shared" si="6"/>
        <v>727261</v>
      </c>
      <c r="AM26" s="156"/>
      <c r="AN26" s="203">
        <f t="shared" si="7"/>
        <v>727261</v>
      </c>
    </row>
    <row r="27" spans="1:40" s="183" customFormat="1" x14ac:dyDescent="0.25">
      <c r="A27" s="4"/>
      <c r="B27" s="4" t="s">
        <v>147</v>
      </c>
      <c r="C27" s="200">
        <f>+SUMIF(Info!A:A,B27,Info!I:I)</f>
        <v>214152</v>
      </c>
      <c r="D27" s="200">
        <f>+SUMIF(Info!W:W,B27,Info!$U:$U)</f>
        <v>0</v>
      </c>
      <c r="E27" s="245" t="s">
        <v>463</v>
      </c>
      <c r="F27" s="246">
        <v>0</v>
      </c>
      <c r="G27" s="245" t="s">
        <v>463</v>
      </c>
      <c r="H27" s="246">
        <v>0</v>
      </c>
      <c r="I27" s="245" t="s">
        <v>463</v>
      </c>
      <c r="J27" s="246">
        <v>0</v>
      </c>
      <c r="K27" s="245">
        <v>0.11449998132167807</v>
      </c>
      <c r="L27" s="246">
        <v>24520.400000000001</v>
      </c>
      <c r="M27" s="245">
        <v>0.18779997385034927</v>
      </c>
      <c r="N27" s="246">
        <v>40217.74</v>
      </c>
      <c r="O27" s="245">
        <v>0.47320001681048973</v>
      </c>
      <c r="P27" s="246">
        <v>101336.73</v>
      </c>
      <c r="Q27" s="245">
        <v>0.58039999626433569</v>
      </c>
      <c r="R27" s="246">
        <v>124293.82</v>
      </c>
      <c r="S27" s="245">
        <v>0.73579999252867123</v>
      </c>
      <c r="T27" s="246">
        <v>157573.04</v>
      </c>
      <c r="U27" s="245">
        <v>0.94659998505734244</v>
      </c>
      <c r="V27" s="246">
        <v>202716.28</v>
      </c>
      <c r="W27" s="245">
        <v>1</v>
      </c>
      <c r="X27" s="246">
        <v>214152</v>
      </c>
      <c r="Y27" s="245">
        <f t="shared" si="0"/>
        <v>1</v>
      </c>
      <c r="Z27" s="246">
        <f>SUMIF(Info!$A:$A,Cashflow!$B27,Info!$J:$J)</f>
        <v>214152</v>
      </c>
      <c r="AA27" s="156">
        <v>1</v>
      </c>
      <c r="AB27" s="201">
        <f t="shared" si="1"/>
        <v>214152</v>
      </c>
      <c r="AC27" s="156">
        <v>1</v>
      </c>
      <c r="AD27" s="201">
        <f t="shared" si="2"/>
        <v>214152</v>
      </c>
      <c r="AE27" s="155">
        <v>1</v>
      </c>
      <c r="AF27" s="201">
        <f t="shared" si="3"/>
        <v>214152</v>
      </c>
      <c r="AG27" s="155"/>
      <c r="AH27" s="201">
        <f t="shared" si="4"/>
        <v>214152</v>
      </c>
      <c r="AI27" s="155"/>
      <c r="AJ27" s="201">
        <f t="shared" si="5"/>
        <v>214152</v>
      </c>
      <c r="AK27" s="155"/>
      <c r="AL27" s="201">
        <f t="shared" si="6"/>
        <v>214152</v>
      </c>
      <c r="AM27" s="155"/>
      <c r="AN27" s="201">
        <f t="shared" si="7"/>
        <v>214152</v>
      </c>
    </row>
    <row r="28" spans="1:40" s="183" customFormat="1" x14ac:dyDescent="0.25">
      <c r="A28" s="2"/>
      <c r="B28" s="2" t="s">
        <v>151</v>
      </c>
      <c r="C28" s="202">
        <f>+SUMIF(Info!A:A,B28,Info!I:I)</f>
        <v>994001</v>
      </c>
      <c r="D28" s="202">
        <f>+SUMIF(Info!W:W,B28,Info!$U:$U)</f>
        <v>0</v>
      </c>
      <c r="E28" s="243" t="s">
        <v>463</v>
      </c>
      <c r="F28" s="244">
        <v>0</v>
      </c>
      <c r="G28" s="243" t="s">
        <v>463</v>
      </c>
      <c r="H28" s="244">
        <v>0</v>
      </c>
      <c r="I28" s="243" t="s">
        <v>463</v>
      </c>
      <c r="J28" s="244">
        <v>0</v>
      </c>
      <c r="K28" s="243">
        <v>0.05</v>
      </c>
      <c r="L28" s="244">
        <v>49700.05</v>
      </c>
      <c r="M28" s="243">
        <v>0.18579999416499582</v>
      </c>
      <c r="N28" s="244">
        <v>184685.38</v>
      </c>
      <c r="O28" s="243">
        <v>0.3845999953722381</v>
      </c>
      <c r="P28" s="244">
        <v>382292.78</v>
      </c>
      <c r="Q28" s="243">
        <v>0.55789999205232188</v>
      </c>
      <c r="R28" s="244">
        <v>554553.15</v>
      </c>
      <c r="S28" s="243">
        <v>0.73689999305835707</v>
      </c>
      <c r="T28" s="244">
        <v>732479.33</v>
      </c>
      <c r="U28" s="243">
        <v>0.95369999627766977</v>
      </c>
      <c r="V28" s="244">
        <v>947978.75</v>
      </c>
      <c r="W28" s="243">
        <v>1</v>
      </c>
      <c r="X28" s="244">
        <v>994001</v>
      </c>
      <c r="Y28" s="243">
        <f t="shared" si="0"/>
        <v>1</v>
      </c>
      <c r="Z28" s="244">
        <f>SUMIF(Info!$A:$A,Cashflow!$B28,Info!$J:$J)</f>
        <v>994001</v>
      </c>
      <c r="AA28" s="156"/>
      <c r="AB28" s="203">
        <f t="shared" si="1"/>
        <v>994001</v>
      </c>
      <c r="AC28" s="156"/>
      <c r="AD28" s="203">
        <f t="shared" si="2"/>
        <v>994001</v>
      </c>
      <c r="AE28" s="156"/>
      <c r="AF28" s="203">
        <f t="shared" si="3"/>
        <v>994001</v>
      </c>
      <c r="AG28" s="156"/>
      <c r="AH28" s="203">
        <f t="shared" si="4"/>
        <v>994001</v>
      </c>
      <c r="AI28" s="156"/>
      <c r="AJ28" s="203">
        <f t="shared" si="5"/>
        <v>994001</v>
      </c>
      <c r="AK28" s="156"/>
      <c r="AL28" s="203">
        <f t="shared" si="6"/>
        <v>994001</v>
      </c>
      <c r="AM28" s="156"/>
      <c r="AN28" s="203">
        <f t="shared" si="7"/>
        <v>994001</v>
      </c>
    </row>
    <row r="29" spans="1:40" s="183" customFormat="1" x14ac:dyDescent="0.25">
      <c r="A29" s="4"/>
      <c r="B29" s="4" t="s">
        <v>155</v>
      </c>
      <c r="C29" s="200">
        <f>+SUMIF(Info!A:A,B29,Info!I:I)</f>
        <v>1817765</v>
      </c>
      <c r="D29" s="200">
        <f>+SUMIF(Info!W:W,B29,Info!$U:$U)</f>
        <v>0</v>
      </c>
      <c r="E29" s="245" t="s">
        <v>463</v>
      </c>
      <c r="F29" s="246">
        <v>0</v>
      </c>
      <c r="G29" s="245" t="s">
        <v>463</v>
      </c>
      <c r="H29" s="246">
        <v>0</v>
      </c>
      <c r="I29" s="245" t="s">
        <v>463</v>
      </c>
      <c r="J29" s="246">
        <v>0</v>
      </c>
      <c r="K29" s="245">
        <v>0.05</v>
      </c>
      <c r="L29" s="246">
        <v>90888.25</v>
      </c>
      <c r="M29" s="245">
        <v>0.30609999642418023</v>
      </c>
      <c r="N29" s="246">
        <v>556417.86</v>
      </c>
      <c r="O29" s="245">
        <v>0.45669999697430635</v>
      </c>
      <c r="P29" s="246">
        <v>830173.27</v>
      </c>
      <c r="Q29" s="245">
        <v>0.58759999779949557</v>
      </c>
      <c r="R29" s="246">
        <v>1068118.71</v>
      </c>
      <c r="S29" s="245">
        <v>0.69659999504886505</v>
      </c>
      <c r="T29" s="246">
        <v>1266255.0900000001</v>
      </c>
      <c r="U29" s="245">
        <v>0.82089999532392799</v>
      </c>
      <c r="V29" s="246">
        <v>1492203.28</v>
      </c>
      <c r="W29" s="245">
        <v>0.98729999752443243</v>
      </c>
      <c r="X29" s="246">
        <v>1794679.38</v>
      </c>
      <c r="Y29" s="245">
        <f t="shared" si="0"/>
        <v>0.98729999752443243</v>
      </c>
      <c r="Z29" s="246">
        <f>SUMIF(Info!$A:$A,Cashflow!$B29,Info!$J:$J)</f>
        <v>1794679.38</v>
      </c>
      <c r="AA29" s="155">
        <v>0.99</v>
      </c>
      <c r="AB29" s="201">
        <f t="shared" si="1"/>
        <v>1799587.35</v>
      </c>
      <c r="AC29" s="155">
        <v>0.99</v>
      </c>
      <c r="AD29" s="201">
        <f t="shared" si="2"/>
        <v>1799587.35</v>
      </c>
      <c r="AE29" s="155">
        <v>1</v>
      </c>
      <c r="AF29" s="201">
        <f t="shared" si="3"/>
        <v>1817765</v>
      </c>
      <c r="AG29" s="155"/>
      <c r="AH29" s="201">
        <f t="shared" si="4"/>
        <v>1817765</v>
      </c>
      <c r="AI29" s="155"/>
      <c r="AJ29" s="201">
        <f t="shared" si="5"/>
        <v>1817765</v>
      </c>
      <c r="AK29" s="155"/>
      <c r="AL29" s="201">
        <f t="shared" si="6"/>
        <v>1817765</v>
      </c>
      <c r="AM29" s="155"/>
      <c r="AN29" s="201">
        <f t="shared" si="7"/>
        <v>1817765</v>
      </c>
    </row>
    <row r="30" spans="1:40" s="183" customFormat="1" x14ac:dyDescent="0.25">
      <c r="A30" s="2"/>
      <c r="B30" s="2" t="s">
        <v>158</v>
      </c>
      <c r="C30" s="202">
        <f>+SUMIF(Info!A:A,B30,Info!I:I)</f>
        <v>256310</v>
      </c>
      <c r="D30" s="202">
        <f>+SUMIF(Info!W:W,B30,Info!$U:$U)</f>
        <v>0</v>
      </c>
      <c r="E30" s="243" t="s">
        <v>463</v>
      </c>
      <c r="F30" s="244">
        <v>0</v>
      </c>
      <c r="G30" s="243" t="s">
        <v>463</v>
      </c>
      <c r="H30" s="244">
        <v>0</v>
      </c>
      <c r="I30" s="243" t="s">
        <v>463</v>
      </c>
      <c r="J30" s="244">
        <v>0</v>
      </c>
      <c r="K30" s="243">
        <v>0.05</v>
      </c>
      <c r="L30" s="244">
        <v>12815.5</v>
      </c>
      <c r="M30" s="243">
        <v>0.05</v>
      </c>
      <c r="N30" s="244">
        <v>12815.5</v>
      </c>
      <c r="O30" s="243">
        <v>0.05</v>
      </c>
      <c r="P30" s="244">
        <v>12815.5</v>
      </c>
      <c r="Q30" s="243">
        <v>0.05</v>
      </c>
      <c r="R30" s="244">
        <v>12815.5</v>
      </c>
      <c r="S30" s="243">
        <v>0.14069997268932152</v>
      </c>
      <c r="T30" s="244">
        <v>36062.81</v>
      </c>
      <c r="U30" s="243">
        <v>0.19059997659084701</v>
      </c>
      <c r="V30" s="244">
        <v>48852.68</v>
      </c>
      <c r="W30" s="243">
        <v>0.3200999960984745</v>
      </c>
      <c r="X30" s="244">
        <v>82044.83</v>
      </c>
      <c r="Y30" s="243">
        <f t="shared" si="0"/>
        <v>0.47329998829542352</v>
      </c>
      <c r="Z30" s="244">
        <f>SUMIF(Info!$A:$A,Cashflow!$B30,Info!$J:$J)</f>
        <v>121311.52</v>
      </c>
      <c r="AA30" s="156">
        <v>0.56000000000000005</v>
      </c>
      <c r="AB30" s="203">
        <f t="shared" si="1"/>
        <v>143533.6</v>
      </c>
      <c r="AC30" s="156">
        <v>0.7</v>
      </c>
      <c r="AD30" s="203">
        <f t="shared" si="2"/>
        <v>179417</v>
      </c>
      <c r="AE30" s="156">
        <v>0.9</v>
      </c>
      <c r="AF30" s="203">
        <f t="shared" si="3"/>
        <v>230679</v>
      </c>
      <c r="AG30" s="156">
        <v>1</v>
      </c>
      <c r="AH30" s="203">
        <f t="shared" si="4"/>
        <v>256310</v>
      </c>
      <c r="AI30" s="156"/>
      <c r="AJ30" s="203">
        <f t="shared" si="5"/>
        <v>256310</v>
      </c>
      <c r="AK30" s="156"/>
      <c r="AL30" s="203">
        <f t="shared" si="6"/>
        <v>256310</v>
      </c>
      <c r="AM30" s="156"/>
      <c r="AN30" s="203">
        <f t="shared" si="7"/>
        <v>256310</v>
      </c>
    </row>
    <row r="31" spans="1:40" s="183" customFormat="1" x14ac:dyDescent="0.25">
      <c r="A31" s="4"/>
      <c r="B31" s="4" t="s">
        <v>162</v>
      </c>
      <c r="C31" s="200">
        <f>+SUMIF(Info!A:A,B31,Info!I:I)</f>
        <v>176000</v>
      </c>
      <c r="D31" s="200">
        <f>+SUMIF(Info!W:W,B31,Info!$U:$U)</f>
        <v>0</v>
      </c>
      <c r="E31" s="245" t="s">
        <v>463</v>
      </c>
      <c r="F31" s="246">
        <v>0</v>
      </c>
      <c r="G31" s="245" t="s">
        <v>463</v>
      </c>
      <c r="H31" s="246">
        <v>0</v>
      </c>
      <c r="I31" s="245" t="s">
        <v>463</v>
      </c>
      <c r="J31" s="246">
        <v>0</v>
      </c>
      <c r="K31" s="245" t="s">
        <v>463</v>
      </c>
      <c r="L31" s="246">
        <v>0</v>
      </c>
      <c r="M31" s="245" t="s">
        <v>463</v>
      </c>
      <c r="N31" s="246">
        <v>0</v>
      </c>
      <c r="O31" s="245" t="s">
        <v>463</v>
      </c>
      <c r="P31" s="246">
        <v>0</v>
      </c>
      <c r="Q31" s="245" t="s">
        <v>463</v>
      </c>
      <c r="R31" s="246">
        <v>0</v>
      </c>
      <c r="S31" s="245">
        <v>0.1384</v>
      </c>
      <c r="T31" s="246">
        <v>24358.400000000001</v>
      </c>
      <c r="U31" s="245">
        <v>0.2918</v>
      </c>
      <c r="V31" s="246">
        <v>51356.800000000003</v>
      </c>
      <c r="W31" s="245">
        <v>0.39400000000000002</v>
      </c>
      <c r="X31" s="246">
        <v>69344</v>
      </c>
      <c r="Y31" s="245">
        <f t="shared" si="0"/>
        <v>0.60310000000000008</v>
      </c>
      <c r="Z31" s="246">
        <f>SUMIF(Info!$A:$A,Cashflow!$B31,Info!$J:$J)</f>
        <v>106145.60000000001</v>
      </c>
      <c r="AA31" s="155">
        <v>0.7</v>
      </c>
      <c r="AB31" s="201">
        <f t="shared" ref="AB31:AB43" si="8">IF(Z31=$C31,$C31,IF(AA31&gt;0,AA31*$C31,$C31*AA31))</f>
        <v>123199.99999999999</v>
      </c>
      <c r="AC31" s="155">
        <v>0.7</v>
      </c>
      <c r="AD31" s="201">
        <f t="shared" ref="AD31:AD43" si="9">IF(AB31=$C31,$C31,IF(AC31&gt;0,AC31*$C31,$C31*AC31))</f>
        <v>123199.99999999999</v>
      </c>
      <c r="AE31" s="155">
        <v>0.9</v>
      </c>
      <c r="AF31" s="201">
        <f t="shared" ref="AF31:AF43" si="10">IF(AD31=$C31,$C31,IF(AE31&gt;0,AE31*$C31,$C31*AE31))</f>
        <v>158400</v>
      </c>
      <c r="AG31" s="155">
        <v>1</v>
      </c>
      <c r="AH31" s="201">
        <f t="shared" ref="AH31:AH43" si="11">IF(AF31=$C31,$C31,IF(AG31&gt;0,AG31*$C31,$C31*AG31))</f>
        <v>176000</v>
      </c>
      <c r="AI31" s="155"/>
      <c r="AJ31" s="201">
        <f t="shared" ref="AJ31:AJ43" si="12">IF(AH31=$C31,$C31,IF(AI31&gt;0,AI31*$C31,$C31*AI31))</f>
        <v>176000</v>
      </c>
      <c r="AK31" s="155"/>
      <c r="AL31" s="201">
        <f t="shared" ref="AL31:AL43" si="13">IF(AJ31=$C31,$C31,IF(AK31&gt;0,AK31*$C31,$C31*AK31))</f>
        <v>176000</v>
      </c>
      <c r="AM31" s="155"/>
      <c r="AN31" s="201">
        <f t="shared" ref="AN31:AN43" si="14">IF(AL31=$C31,$C31,IF(AM31&gt;0,AM31*$C31,$C31*AM31))</f>
        <v>176000</v>
      </c>
    </row>
    <row r="32" spans="1:40" s="183" customFormat="1" x14ac:dyDescent="0.25">
      <c r="A32" s="2"/>
      <c r="B32" s="2" t="s">
        <v>166</v>
      </c>
      <c r="C32" s="202">
        <f>+SUMIF(Info!A:A,B32,Info!I:I)</f>
        <v>255327</v>
      </c>
      <c r="D32" s="202">
        <f>+SUMIF(Info!W:W,B32,Info!$U:$U)</f>
        <v>0</v>
      </c>
      <c r="E32" s="243" t="s">
        <v>463</v>
      </c>
      <c r="F32" s="244">
        <v>0</v>
      </c>
      <c r="G32" s="243" t="s">
        <v>463</v>
      </c>
      <c r="H32" s="244">
        <v>0</v>
      </c>
      <c r="I32" s="243" t="s">
        <v>463</v>
      </c>
      <c r="J32" s="244">
        <v>0</v>
      </c>
      <c r="K32" s="243" t="s">
        <v>463</v>
      </c>
      <c r="L32" s="244">
        <v>0</v>
      </c>
      <c r="M32" s="243" t="s">
        <v>463</v>
      </c>
      <c r="N32" s="244">
        <v>0</v>
      </c>
      <c r="O32" s="243" t="s">
        <v>463</v>
      </c>
      <c r="P32" s="244">
        <v>0</v>
      </c>
      <c r="Q32" s="243" t="s">
        <v>463</v>
      </c>
      <c r="R32" s="244">
        <v>0</v>
      </c>
      <c r="S32" s="243" t="s">
        <v>463</v>
      </c>
      <c r="T32" s="244">
        <v>0</v>
      </c>
      <c r="U32" s="243" t="s">
        <v>463</v>
      </c>
      <c r="V32" s="244">
        <v>0</v>
      </c>
      <c r="W32" s="243" t="s">
        <v>463</v>
      </c>
      <c r="X32" s="244">
        <v>0</v>
      </c>
      <c r="Y32" s="243">
        <f t="shared" si="0"/>
        <v>0.85439996553439312</v>
      </c>
      <c r="Z32" s="244">
        <f>SUMIF(Info!$A:$A,Cashflow!$B32,Info!$J:$J)</f>
        <v>218151.38</v>
      </c>
      <c r="AA32" s="156">
        <v>0.9</v>
      </c>
      <c r="AB32" s="203">
        <f t="shared" si="8"/>
        <v>229794.30000000002</v>
      </c>
      <c r="AC32" s="156">
        <v>0.9</v>
      </c>
      <c r="AD32" s="203">
        <f t="shared" si="9"/>
        <v>229794.30000000002</v>
      </c>
      <c r="AE32" s="156">
        <v>0.95</v>
      </c>
      <c r="AF32" s="203">
        <f t="shared" si="10"/>
        <v>242560.65</v>
      </c>
      <c r="AG32" s="156">
        <v>1</v>
      </c>
      <c r="AH32" s="203">
        <f t="shared" si="11"/>
        <v>255327</v>
      </c>
      <c r="AI32" s="156"/>
      <c r="AJ32" s="203">
        <f t="shared" si="12"/>
        <v>255327</v>
      </c>
      <c r="AK32" s="156"/>
      <c r="AL32" s="203">
        <f t="shared" si="13"/>
        <v>255327</v>
      </c>
      <c r="AM32" s="156"/>
      <c r="AN32" s="203">
        <f t="shared" si="14"/>
        <v>255327</v>
      </c>
    </row>
    <row r="33" spans="1:40" s="183" customFormat="1" x14ac:dyDescent="0.25">
      <c r="A33" s="4"/>
      <c r="B33" s="4" t="s">
        <v>170</v>
      </c>
      <c r="C33" s="200">
        <f>+SUMIF(Info!A:A,B33,Info!I:I)</f>
        <v>28265</v>
      </c>
      <c r="D33" s="200">
        <f>+SUMIF(Info!W:W,B33,Info!$U:$U)</f>
        <v>0</v>
      </c>
      <c r="E33" s="245" t="s">
        <v>463</v>
      </c>
      <c r="F33" s="246">
        <v>0</v>
      </c>
      <c r="G33" s="245" t="s">
        <v>463</v>
      </c>
      <c r="H33" s="246">
        <v>0</v>
      </c>
      <c r="I33" s="245" t="s">
        <v>463</v>
      </c>
      <c r="J33" s="246">
        <v>0</v>
      </c>
      <c r="K33" s="245" t="s">
        <v>463</v>
      </c>
      <c r="L33" s="246">
        <v>0</v>
      </c>
      <c r="M33" s="245" t="s">
        <v>463</v>
      </c>
      <c r="N33" s="246">
        <v>0</v>
      </c>
      <c r="O33" s="245" t="s">
        <v>463</v>
      </c>
      <c r="P33" s="246">
        <v>0</v>
      </c>
      <c r="Q33" s="245" t="s">
        <v>463</v>
      </c>
      <c r="R33" s="246">
        <v>0</v>
      </c>
      <c r="S33" s="245" t="s">
        <v>463</v>
      </c>
      <c r="T33" s="246">
        <v>0</v>
      </c>
      <c r="U33" s="245" t="s">
        <v>463</v>
      </c>
      <c r="V33" s="246">
        <v>0</v>
      </c>
      <c r="W33" s="245" t="s">
        <v>463</v>
      </c>
      <c r="X33" s="246">
        <v>0</v>
      </c>
      <c r="Y33" s="245">
        <f t="shared" si="0"/>
        <v>0</v>
      </c>
      <c r="Z33" s="246">
        <f>SUMIF(Info!$A:$A,Cashflow!$B33,Info!$J:$J)</f>
        <v>0</v>
      </c>
      <c r="AA33" s="155">
        <v>0.5</v>
      </c>
      <c r="AB33" s="201">
        <f t="shared" si="8"/>
        <v>14132.5</v>
      </c>
      <c r="AC33" s="155">
        <v>1</v>
      </c>
      <c r="AD33" s="201">
        <f t="shared" si="9"/>
        <v>28265</v>
      </c>
      <c r="AE33" s="155"/>
      <c r="AF33" s="201">
        <f t="shared" si="10"/>
        <v>28265</v>
      </c>
      <c r="AG33" s="155"/>
      <c r="AH33" s="201">
        <f t="shared" si="11"/>
        <v>28265</v>
      </c>
      <c r="AI33" s="155"/>
      <c r="AJ33" s="201">
        <f t="shared" si="12"/>
        <v>28265</v>
      </c>
      <c r="AK33" s="155"/>
      <c r="AL33" s="201">
        <f t="shared" si="13"/>
        <v>28265</v>
      </c>
      <c r="AM33" s="155"/>
      <c r="AN33" s="201">
        <f t="shared" si="14"/>
        <v>28265</v>
      </c>
    </row>
    <row r="34" spans="1:40" s="183" customFormat="1" x14ac:dyDescent="0.25">
      <c r="A34" s="2"/>
      <c r="B34" s="2" t="s">
        <v>174</v>
      </c>
      <c r="C34" s="202">
        <f>+SUMIF(Info!A:A,B34,Info!I:I)</f>
        <v>1189248</v>
      </c>
      <c r="D34" s="202">
        <f>+SUMIF(Info!W:W,B34,Info!$U:$U)</f>
        <v>0</v>
      </c>
      <c r="E34" s="243" t="s">
        <v>463</v>
      </c>
      <c r="F34" s="244">
        <v>0</v>
      </c>
      <c r="G34" s="243" t="s">
        <v>463</v>
      </c>
      <c r="H34" s="244">
        <v>0</v>
      </c>
      <c r="I34" s="243" t="s">
        <v>463</v>
      </c>
      <c r="J34" s="244">
        <v>0</v>
      </c>
      <c r="K34" s="243" t="s">
        <v>463</v>
      </c>
      <c r="L34" s="244">
        <v>0</v>
      </c>
      <c r="M34" s="243">
        <v>0.01</v>
      </c>
      <c r="N34" s="244">
        <v>11892.48</v>
      </c>
      <c r="O34" s="243">
        <v>0.01</v>
      </c>
      <c r="P34" s="244">
        <v>11892.48</v>
      </c>
      <c r="Q34" s="243">
        <v>0.01</v>
      </c>
      <c r="R34" s="244">
        <v>11892.48</v>
      </c>
      <c r="S34" s="243">
        <v>5.2799996300182971E-2</v>
      </c>
      <c r="T34" s="244">
        <v>62792.29</v>
      </c>
      <c r="U34" s="243">
        <v>0.19279999630018299</v>
      </c>
      <c r="V34" s="244">
        <v>229287.01</v>
      </c>
      <c r="W34" s="243">
        <v>0.46399999831826494</v>
      </c>
      <c r="X34" s="244">
        <v>551811.06999999995</v>
      </c>
      <c r="Y34" s="243">
        <f t="shared" si="0"/>
        <v>0.68949999495479497</v>
      </c>
      <c r="Z34" s="244">
        <f>SUMIF(Info!$A:$A,Cashflow!$B34,Info!$J:$J)</f>
        <v>819986.49</v>
      </c>
      <c r="AA34" s="156">
        <v>0.81</v>
      </c>
      <c r="AB34" s="203">
        <f t="shared" si="8"/>
        <v>963290.88000000012</v>
      </c>
      <c r="AC34" s="156">
        <v>0.83</v>
      </c>
      <c r="AD34" s="203">
        <f t="shared" si="9"/>
        <v>987075.84</v>
      </c>
      <c r="AE34" s="156">
        <v>0.95</v>
      </c>
      <c r="AF34" s="203">
        <f t="shared" si="10"/>
        <v>1129785.5999999999</v>
      </c>
      <c r="AG34" s="156">
        <v>1</v>
      </c>
      <c r="AH34" s="203">
        <f t="shared" si="11"/>
        <v>1189248</v>
      </c>
      <c r="AI34" s="156"/>
      <c r="AJ34" s="203">
        <f t="shared" si="12"/>
        <v>1189248</v>
      </c>
      <c r="AK34" s="156"/>
      <c r="AL34" s="203">
        <f t="shared" si="13"/>
        <v>1189248</v>
      </c>
      <c r="AM34" s="156"/>
      <c r="AN34" s="203">
        <f t="shared" si="14"/>
        <v>1189248</v>
      </c>
    </row>
    <row r="35" spans="1:40" s="183" customFormat="1" x14ac:dyDescent="0.25">
      <c r="A35" s="4"/>
      <c r="B35" s="4" t="s">
        <v>178</v>
      </c>
      <c r="C35" s="200">
        <f>+SUMIF(Info!A:A,B35,Info!I:I)</f>
        <v>646695</v>
      </c>
      <c r="D35" s="200">
        <f>+SUMIF(Info!W:W,B35,Info!$U:$U)</f>
        <v>0</v>
      </c>
      <c r="E35" s="245" t="s">
        <v>463</v>
      </c>
      <c r="F35" s="246">
        <v>0</v>
      </c>
      <c r="G35" s="245" t="s">
        <v>463</v>
      </c>
      <c r="H35" s="246">
        <v>0</v>
      </c>
      <c r="I35" s="245" t="s">
        <v>463</v>
      </c>
      <c r="J35" s="246">
        <v>0</v>
      </c>
      <c r="K35" s="245" t="s">
        <v>463</v>
      </c>
      <c r="L35" s="246">
        <v>0</v>
      </c>
      <c r="M35" s="245" t="s">
        <v>463</v>
      </c>
      <c r="N35" s="246">
        <v>0</v>
      </c>
      <c r="O35" s="245" t="s">
        <v>463</v>
      </c>
      <c r="P35" s="246">
        <v>0</v>
      </c>
      <c r="Q35" s="245" t="s">
        <v>463</v>
      </c>
      <c r="R35" s="246">
        <v>0</v>
      </c>
      <c r="S35" s="245" t="s">
        <v>463</v>
      </c>
      <c r="T35" s="246">
        <v>0</v>
      </c>
      <c r="U35" s="245" t="s">
        <v>463</v>
      </c>
      <c r="V35" s="246">
        <v>0</v>
      </c>
      <c r="W35" s="245" t="s">
        <v>463</v>
      </c>
      <c r="X35" s="246">
        <v>0</v>
      </c>
      <c r="Y35" s="245">
        <f t="shared" si="0"/>
        <v>0.25559999690735197</v>
      </c>
      <c r="Z35" s="246">
        <f>SUMIF(Info!$A:$A,Cashflow!$B35,Info!$J:$J)</f>
        <v>165295.24</v>
      </c>
      <c r="AA35" s="155">
        <v>0.52</v>
      </c>
      <c r="AB35" s="201">
        <f t="shared" si="8"/>
        <v>336281.4</v>
      </c>
      <c r="AC35" s="155">
        <v>0.7</v>
      </c>
      <c r="AD35" s="201">
        <f t="shared" si="9"/>
        <v>452686.5</v>
      </c>
      <c r="AE35" s="155">
        <v>0.8</v>
      </c>
      <c r="AF35" s="201">
        <f t="shared" si="10"/>
        <v>517356</v>
      </c>
      <c r="AG35" s="155">
        <v>0.9</v>
      </c>
      <c r="AH35" s="201">
        <f t="shared" si="11"/>
        <v>582025.5</v>
      </c>
      <c r="AI35" s="155">
        <v>0.95</v>
      </c>
      <c r="AJ35" s="201">
        <f t="shared" si="12"/>
        <v>614360.25</v>
      </c>
      <c r="AK35" s="155">
        <v>1</v>
      </c>
      <c r="AL35" s="201">
        <f t="shared" si="13"/>
        <v>646695</v>
      </c>
      <c r="AM35" s="155"/>
      <c r="AN35" s="201">
        <f t="shared" si="14"/>
        <v>646695</v>
      </c>
    </row>
    <row r="36" spans="1:40" s="183" customFormat="1" x14ac:dyDescent="0.25">
      <c r="A36" s="2"/>
      <c r="B36" s="2" t="s">
        <v>182</v>
      </c>
      <c r="C36" s="202">
        <f>+SUMIF(Info!A:A,B36,Info!I:I)</f>
        <v>20530</v>
      </c>
      <c r="D36" s="202">
        <f>+SUMIF(Info!W:W,B36,Info!$U:$U)</f>
        <v>0</v>
      </c>
      <c r="E36" s="243" t="s">
        <v>463</v>
      </c>
      <c r="F36" s="244">
        <v>0</v>
      </c>
      <c r="G36" s="243" t="s">
        <v>463</v>
      </c>
      <c r="H36" s="244">
        <v>0</v>
      </c>
      <c r="I36" s="243" t="s">
        <v>463</v>
      </c>
      <c r="J36" s="244">
        <v>0</v>
      </c>
      <c r="K36" s="243" t="s">
        <v>463</v>
      </c>
      <c r="L36" s="244">
        <v>0</v>
      </c>
      <c r="M36" s="243">
        <v>0.02</v>
      </c>
      <c r="N36" s="244">
        <v>410.6</v>
      </c>
      <c r="O36" s="243">
        <v>0.02</v>
      </c>
      <c r="P36" s="244">
        <v>410.6</v>
      </c>
      <c r="Q36" s="243">
        <v>0.02</v>
      </c>
      <c r="R36" s="244">
        <v>410.6</v>
      </c>
      <c r="S36" s="243">
        <v>0.02</v>
      </c>
      <c r="T36" s="244">
        <v>410.6</v>
      </c>
      <c r="U36" s="243">
        <v>0.02</v>
      </c>
      <c r="V36" s="244">
        <v>410.6</v>
      </c>
      <c r="W36" s="243">
        <v>0.02</v>
      </c>
      <c r="X36" s="244">
        <v>410.6</v>
      </c>
      <c r="Y36" s="243">
        <f t="shared" si="0"/>
        <v>0.02</v>
      </c>
      <c r="Z36" s="244">
        <f>SUMIF(Info!$A:$A,Cashflow!$B36,Info!$J:$J)</f>
        <v>410.6</v>
      </c>
      <c r="AA36" s="156">
        <v>0.9</v>
      </c>
      <c r="AB36" s="203">
        <f t="shared" si="8"/>
        <v>18477</v>
      </c>
      <c r="AC36" s="156">
        <v>1</v>
      </c>
      <c r="AD36" s="203">
        <f t="shared" si="9"/>
        <v>20530</v>
      </c>
      <c r="AE36" s="156"/>
      <c r="AF36" s="203">
        <f t="shared" si="10"/>
        <v>20530</v>
      </c>
      <c r="AG36" s="156"/>
      <c r="AH36" s="203">
        <f t="shared" si="11"/>
        <v>20530</v>
      </c>
      <c r="AI36" s="156"/>
      <c r="AJ36" s="203">
        <f t="shared" si="12"/>
        <v>20530</v>
      </c>
      <c r="AK36" s="156"/>
      <c r="AL36" s="203">
        <f t="shared" si="13"/>
        <v>20530</v>
      </c>
      <c r="AM36" s="156"/>
      <c r="AN36" s="203">
        <f t="shared" si="14"/>
        <v>20530</v>
      </c>
    </row>
    <row r="37" spans="1:40" s="183" customFormat="1" x14ac:dyDescent="0.25">
      <c r="A37" s="4"/>
      <c r="B37" s="4" t="s">
        <v>186</v>
      </c>
      <c r="C37" s="200">
        <f>+SUMIF(Info!A:A,B37,Info!I:I)</f>
        <v>5697</v>
      </c>
      <c r="D37" s="200">
        <f>+SUMIF(Info!W:W,B37,Info!$U:$U)</f>
        <v>0</v>
      </c>
      <c r="E37" s="245" t="s">
        <v>463</v>
      </c>
      <c r="F37" s="246">
        <v>0</v>
      </c>
      <c r="G37" s="245" t="s">
        <v>463</v>
      </c>
      <c r="H37" s="246">
        <v>0</v>
      </c>
      <c r="I37" s="245" t="s">
        <v>463</v>
      </c>
      <c r="J37" s="246">
        <v>0</v>
      </c>
      <c r="K37" s="245" t="s">
        <v>463</v>
      </c>
      <c r="L37" s="246">
        <v>0</v>
      </c>
      <c r="M37" s="245" t="s">
        <v>463</v>
      </c>
      <c r="N37" s="246">
        <v>0</v>
      </c>
      <c r="O37" s="245" t="s">
        <v>463</v>
      </c>
      <c r="P37" s="246">
        <v>0</v>
      </c>
      <c r="Q37" s="245" t="s">
        <v>463</v>
      </c>
      <c r="R37" s="246">
        <v>0</v>
      </c>
      <c r="S37" s="245" t="s">
        <v>463</v>
      </c>
      <c r="T37" s="246">
        <v>0</v>
      </c>
      <c r="U37" s="245" t="s">
        <v>463</v>
      </c>
      <c r="V37" s="246">
        <v>0</v>
      </c>
      <c r="W37" s="245" t="s">
        <v>463</v>
      </c>
      <c r="X37" s="246">
        <v>0</v>
      </c>
      <c r="Y37" s="245">
        <f t="shared" si="0"/>
        <v>0</v>
      </c>
      <c r="Z37" s="246">
        <f>SUMIF(Info!$A:$A,Cashflow!$B37,Info!$J:$J)</f>
        <v>0</v>
      </c>
      <c r="AA37" s="155"/>
      <c r="AB37" s="201">
        <f t="shared" si="8"/>
        <v>0</v>
      </c>
      <c r="AC37" s="155"/>
      <c r="AD37" s="201">
        <f t="shared" si="9"/>
        <v>0</v>
      </c>
      <c r="AE37" s="155">
        <v>1</v>
      </c>
      <c r="AF37" s="201">
        <f t="shared" si="10"/>
        <v>5697</v>
      </c>
      <c r="AG37" s="155"/>
      <c r="AH37" s="201">
        <f t="shared" si="11"/>
        <v>5697</v>
      </c>
      <c r="AI37" s="155"/>
      <c r="AJ37" s="201">
        <f t="shared" si="12"/>
        <v>5697</v>
      </c>
      <c r="AK37" s="155"/>
      <c r="AL37" s="201">
        <f t="shared" si="13"/>
        <v>5697</v>
      </c>
      <c r="AM37" s="155"/>
      <c r="AN37" s="201">
        <f t="shared" si="14"/>
        <v>5697</v>
      </c>
    </row>
    <row r="38" spans="1:40" s="183" customFormat="1" x14ac:dyDescent="0.25">
      <c r="A38" s="2"/>
      <c r="B38" s="2" t="s">
        <v>190</v>
      </c>
      <c r="C38" s="202">
        <f>+SUMIF(Info!A:A,B38,Info!I:I)</f>
        <v>124888</v>
      </c>
      <c r="D38" s="202">
        <f>+SUMIF(Info!W:W,B38,Info!$U:$U)</f>
        <v>0</v>
      </c>
      <c r="E38" s="243" t="s">
        <v>463</v>
      </c>
      <c r="F38" s="244">
        <v>0</v>
      </c>
      <c r="G38" s="243" t="s">
        <v>463</v>
      </c>
      <c r="H38" s="244">
        <v>0</v>
      </c>
      <c r="I38" s="243" t="s">
        <v>463</v>
      </c>
      <c r="J38" s="244">
        <v>0</v>
      </c>
      <c r="K38" s="243" t="s">
        <v>463</v>
      </c>
      <c r="L38" s="244">
        <v>0</v>
      </c>
      <c r="M38" s="243" t="s">
        <v>463</v>
      </c>
      <c r="N38" s="244">
        <v>0</v>
      </c>
      <c r="O38" s="243" t="s">
        <v>463</v>
      </c>
      <c r="P38" s="244">
        <v>0</v>
      </c>
      <c r="Q38" s="243" t="s">
        <v>463</v>
      </c>
      <c r="R38" s="244">
        <v>0</v>
      </c>
      <c r="S38" s="243" t="s">
        <v>463</v>
      </c>
      <c r="T38" s="244">
        <v>0</v>
      </c>
      <c r="U38" s="243" t="s">
        <v>463</v>
      </c>
      <c r="V38" s="244">
        <v>0</v>
      </c>
      <c r="W38" s="243">
        <v>0.18379996476843252</v>
      </c>
      <c r="X38" s="244">
        <v>22954.41</v>
      </c>
      <c r="Y38" s="243">
        <f t="shared" si="0"/>
        <v>0.40839992633399524</v>
      </c>
      <c r="Z38" s="244">
        <f>SUMIF(Info!$A:$A,Cashflow!$B38,Info!$J:$J)</f>
        <v>51004.25</v>
      </c>
      <c r="AA38" s="156">
        <v>0.41</v>
      </c>
      <c r="AB38" s="203">
        <f t="shared" si="8"/>
        <v>51204.079999999994</v>
      </c>
      <c r="AC38" s="156">
        <v>0.55000000000000004</v>
      </c>
      <c r="AD38" s="203">
        <f t="shared" si="9"/>
        <v>68688.400000000009</v>
      </c>
      <c r="AE38" s="156">
        <v>0.75</v>
      </c>
      <c r="AF38" s="203">
        <f t="shared" si="10"/>
        <v>93666</v>
      </c>
      <c r="AG38" s="156">
        <v>0.87</v>
      </c>
      <c r="AH38" s="203">
        <f t="shared" si="11"/>
        <v>108652.56</v>
      </c>
      <c r="AI38" s="156">
        <v>0.95</v>
      </c>
      <c r="AJ38" s="203">
        <f t="shared" si="12"/>
        <v>118643.59999999999</v>
      </c>
      <c r="AK38" s="156">
        <v>1</v>
      </c>
      <c r="AL38" s="203">
        <f t="shared" si="13"/>
        <v>124888</v>
      </c>
      <c r="AM38" s="156"/>
      <c r="AN38" s="203">
        <f t="shared" si="14"/>
        <v>124888</v>
      </c>
    </row>
    <row r="39" spans="1:40" s="183" customFormat="1" x14ac:dyDescent="0.25">
      <c r="A39" s="4"/>
      <c r="B39" s="4" t="s">
        <v>193</v>
      </c>
      <c r="C39" s="200">
        <f>+SUMIF(Info!A:A,B39,Info!I:I)</f>
        <v>196190</v>
      </c>
      <c r="D39" s="200">
        <f>+SUMIF(Info!W:W,B39,Info!$U:$U)</f>
        <v>0</v>
      </c>
      <c r="E39" s="245" t="s">
        <v>463</v>
      </c>
      <c r="F39" s="246">
        <v>0</v>
      </c>
      <c r="G39" s="245" t="s">
        <v>463</v>
      </c>
      <c r="H39" s="246">
        <v>0</v>
      </c>
      <c r="I39" s="245" t="s">
        <v>463</v>
      </c>
      <c r="J39" s="246">
        <v>0</v>
      </c>
      <c r="K39" s="245" t="s">
        <v>463</v>
      </c>
      <c r="L39" s="246">
        <v>0</v>
      </c>
      <c r="M39" s="245">
        <v>0.02</v>
      </c>
      <c r="N39" s="246">
        <v>3923.8</v>
      </c>
      <c r="O39" s="245">
        <v>0.02</v>
      </c>
      <c r="P39" s="246">
        <v>3923.8</v>
      </c>
      <c r="Q39" s="245">
        <v>0.02</v>
      </c>
      <c r="R39" s="246">
        <v>3923.8</v>
      </c>
      <c r="S39" s="245">
        <v>0.02</v>
      </c>
      <c r="T39" s="246">
        <v>3923.8</v>
      </c>
      <c r="U39" s="245">
        <v>0.02</v>
      </c>
      <c r="V39" s="246">
        <v>3923.8</v>
      </c>
      <c r="W39" s="245">
        <v>0.42939996941740149</v>
      </c>
      <c r="X39" s="246">
        <v>84243.98</v>
      </c>
      <c r="Y39" s="245">
        <f t="shared" si="0"/>
        <v>0.92939996941740155</v>
      </c>
      <c r="Z39" s="246">
        <f>SUMIF(Info!$A:$A,Cashflow!$B39,Info!$J:$J)</f>
        <v>182338.98</v>
      </c>
      <c r="AA39" s="155">
        <v>0.93</v>
      </c>
      <c r="AB39" s="201">
        <f t="shared" si="8"/>
        <v>182456.7</v>
      </c>
      <c r="AC39" s="155">
        <v>0.93</v>
      </c>
      <c r="AD39" s="201">
        <f t="shared" si="9"/>
        <v>182456.7</v>
      </c>
      <c r="AE39" s="155">
        <v>1</v>
      </c>
      <c r="AF39" s="201">
        <f t="shared" si="10"/>
        <v>196190</v>
      </c>
      <c r="AG39" s="155"/>
      <c r="AH39" s="201">
        <f t="shared" si="11"/>
        <v>196190</v>
      </c>
      <c r="AI39" s="155"/>
      <c r="AJ39" s="201">
        <f t="shared" si="12"/>
        <v>196190</v>
      </c>
      <c r="AK39" s="155"/>
      <c r="AL39" s="201">
        <f t="shared" si="13"/>
        <v>196190</v>
      </c>
      <c r="AM39" s="155"/>
      <c r="AN39" s="201">
        <f t="shared" si="14"/>
        <v>196190</v>
      </c>
    </row>
    <row r="40" spans="1:40" s="183" customFormat="1" x14ac:dyDescent="0.25">
      <c r="A40" s="2"/>
      <c r="B40" s="2" t="s">
        <v>197</v>
      </c>
      <c r="C40" s="202">
        <f>+SUMIF(Info!A:A,B40,Info!I:I)</f>
        <v>252679</v>
      </c>
      <c r="D40" s="202">
        <f>+SUMIF(Info!W:W,B40,Info!$U:$U)</f>
        <v>0</v>
      </c>
      <c r="E40" s="243" t="s">
        <v>463</v>
      </c>
      <c r="F40" s="244">
        <v>0</v>
      </c>
      <c r="G40" s="243" t="s">
        <v>463</v>
      </c>
      <c r="H40" s="244">
        <v>0</v>
      </c>
      <c r="I40" s="243" t="s">
        <v>463</v>
      </c>
      <c r="J40" s="244">
        <v>0</v>
      </c>
      <c r="K40" s="243">
        <v>0.03</v>
      </c>
      <c r="L40" s="244">
        <v>7580.37</v>
      </c>
      <c r="M40" s="243">
        <v>0.03</v>
      </c>
      <c r="N40" s="244">
        <v>7580.37</v>
      </c>
      <c r="O40" s="243">
        <v>0.03</v>
      </c>
      <c r="P40" s="244">
        <v>7580.37</v>
      </c>
      <c r="Q40" s="243">
        <v>5.9399989710264799E-2</v>
      </c>
      <c r="R40" s="244">
        <v>15009.13</v>
      </c>
      <c r="S40" s="243">
        <v>0.10509998852298767</v>
      </c>
      <c r="T40" s="244">
        <v>26556.560000000001</v>
      </c>
      <c r="U40" s="243">
        <v>0.23209997665021628</v>
      </c>
      <c r="V40" s="244">
        <v>58646.79</v>
      </c>
      <c r="W40" s="243">
        <v>0.34199996833927632</v>
      </c>
      <c r="X40" s="244">
        <v>86416.21</v>
      </c>
      <c r="Y40" s="243">
        <f t="shared" si="0"/>
        <v>0.40659999445937334</v>
      </c>
      <c r="Z40" s="244">
        <f>SUMIF(Info!$A:$A,Cashflow!$B40,Info!$J:$J)</f>
        <v>102739.28</v>
      </c>
      <c r="AA40" s="156">
        <v>0.52</v>
      </c>
      <c r="AB40" s="203">
        <f t="shared" si="8"/>
        <v>131393.08000000002</v>
      </c>
      <c r="AC40" s="156">
        <v>0.75</v>
      </c>
      <c r="AD40" s="203">
        <f t="shared" si="9"/>
        <v>189509.25</v>
      </c>
      <c r="AE40" s="156">
        <v>0.9</v>
      </c>
      <c r="AF40" s="203">
        <f t="shared" si="10"/>
        <v>227411.1</v>
      </c>
      <c r="AG40" s="156">
        <v>1</v>
      </c>
      <c r="AH40" s="203">
        <f t="shared" si="11"/>
        <v>252679</v>
      </c>
      <c r="AI40" s="156"/>
      <c r="AJ40" s="203">
        <f t="shared" si="12"/>
        <v>252679</v>
      </c>
      <c r="AK40" s="156"/>
      <c r="AL40" s="203">
        <f t="shared" si="13"/>
        <v>252679</v>
      </c>
      <c r="AM40" s="156"/>
      <c r="AN40" s="203">
        <f t="shared" si="14"/>
        <v>252679</v>
      </c>
    </row>
    <row r="41" spans="1:40" s="183" customFormat="1" x14ac:dyDescent="0.25">
      <c r="A41" s="4"/>
      <c r="B41" s="4" t="s">
        <v>200</v>
      </c>
      <c r="C41" s="200">
        <f>+SUMIF(Info!A:A,B41,Info!I:I)</f>
        <v>144710</v>
      </c>
      <c r="D41" s="200">
        <f>+SUMIF(Info!W:W,B41,Info!$U:$U)</f>
        <v>0</v>
      </c>
      <c r="E41" s="245" t="s">
        <v>463</v>
      </c>
      <c r="F41" s="246">
        <v>0</v>
      </c>
      <c r="G41" s="245" t="s">
        <v>463</v>
      </c>
      <c r="H41" s="246">
        <v>0</v>
      </c>
      <c r="I41" s="245" t="s">
        <v>463</v>
      </c>
      <c r="J41" s="246">
        <v>0</v>
      </c>
      <c r="K41" s="245" t="s">
        <v>463</v>
      </c>
      <c r="L41" s="246">
        <v>0</v>
      </c>
      <c r="M41" s="245" t="s">
        <v>463</v>
      </c>
      <c r="N41" s="246">
        <v>0</v>
      </c>
      <c r="O41" s="245" t="s">
        <v>463</v>
      </c>
      <c r="P41" s="246">
        <v>0</v>
      </c>
      <c r="Q41" s="245" t="s">
        <v>463</v>
      </c>
      <c r="R41" s="246">
        <v>0</v>
      </c>
      <c r="S41" s="245" t="s">
        <v>463</v>
      </c>
      <c r="T41" s="246">
        <v>0</v>
      </c>
      <c r="U41" s="245" t="s">
        <v>463</v>
      </c>
      <c r="V41" s="246">
        <v>0</v>
      </c>
      <c r="W41" s="245" t="s">
        <v>463</v>
      </c>
      <c r="X41" s="246">
        <v>0</v>
      </c>
      <c r="Y41" s="245">
        <f t="shared" si="0"/>
        <v>0</v>
      </c>
      <c r="Z41" s="246">
        <f>SUMIF(Info!$A:$A,Cashflow!$B41,Info!$J:$J)</f>
        <v>0</v>
      </c>
      <c r="AA41" s="155">
        <v>0.04</v>
      </c>
      <c r="AB41" s="201">
        <f t="shared" si="8"/>
        <v>5788.4000000000005</v>
      </c>
      <c r="AC41" s="155">
        <v>0.35</v>
      </c>
      <c r="AD41" s="201">
        <f t="shared" si="9"/>
        <v>50648.5</v>
      </c>
      <c r="AE41" s="155">
        <v>0.55000000000000004</v>
      </c>
      <c r="AF41" s="201">
        <f t="shared" si="10"/>
        <v>79590.5</v>
      </c>
      <c r="AG41" s="155">
        <v>0.9</v>
      </c>
      <c r="AH41" s="201">
        <f t="shared" si="11"/>
        <v>130239</v>
      </c>
      <c r="AI41" s="155">
        <v>0.95</v>
      </c>
      <c r="AJ41" s="201">
        <f t="shared" si="12"/>
        <v>137474.5</v>
      </c>
      <c r="AK41" s="155">
        <v>1</v>
      </c>
      <c r="AL41" s="201">
        <f t="shared" si="13"/>
        <v>144710</v>
      </c>
      <c r="AM41" s="155"/>
      <c r="AN41" s="201">
        <f t="shared" si="14"/>
        <v>144710</v>
      </c>
    </row>
    <row r="42" spans="1:40" s="183" customFormat="1" x14ac:dyDescent="0.25">
      <c r="A42" s="2"/>
      <c r="B42" s="2" t="s">
        <v>204</v>
      </c>
      <c r="C42" s="202">
        <f>+SUMIF(Info!A:A,B42,Info!I:I)</f>
        <v>3016797</v>
      </c>
      <c r="D42" s="202">
        <f>+SUMIF(Info!W:W,B42,Info!$U:$U)</f>
        <v>0</v>
      </c>
      <c r="E42" s="243" t="s">
        <v>463</v>
      </c>
      <c r="F42" s="244">
        <v>0</v>
      </c>
      <c r="G42" s="243" t="s">
        <v>463</v>
      </c>
      <c r="H42" s="244">
        <v>0</v>
      </c>
      <c r="I42" s="243" t="s">
        <v>463</v>
      </c>
      <c r="J42" s="244">
        <v>0</v>
      </c>
      <c r="K42" s="243" t="s">
        <v>463</v>
      </c>
      <c r="L42" s="244">
        <v>0</v>
      </c>
      <c r="M42" s="243" t="s">
        <v>463</v>
      </c>
      <c r="N42" s="244">
        <v>0</v>
      </c>
      <c r="O42" s="243" t="s">
        <v>463</v>
      </c>
      <c r="P42" s="244">
        <v>0</v>
      </c>
      <c r="Q42" s="243">
        <v>4.9999983426130424E-3</v>
      </c>
      <c r="R42" s="244">
        <v>15083.98</v>
      </c>
      <c r="S42" s="243">
        <v>0.10139999807743114</v>
      </c>
      <c r="T42" s="244">
        <v>305903.21000000002</v>
      </c>
      <c r="U42" s="243">
        <v>0.20740000072925024</v>
      </c>
      <c r="V42" s="244">
        <v>625683.69999999995</v>
      </c>
      <c r="W42" s="243">
        <v>0.37169999837576079</v>
      </c>
      <c r="X42" s="244">
        <v>1121343.44</v>
      </c>
      <c r="Y42" s="243">
        <f t="shared" si="0"/>
        <v>0.60349999685096478</v>
      </c>
      <c r="Z42" s="244">
        <f>SUMIF(Info!$A:$A,Cashflow!$B42,Info!$J:$J)</f>
        <v>1820636.98</v>
      </c>
      <c r="AA42" s="156">
        <v>0.81</v>
      </c>
      <c r="AB42" s="203">
        <f t="shared" si="8"/>
        <v>2443605.5700000003</v>
      </c>
      <c r="AC42" s="156">
        <v>0.95</v>
      </c>
      <c r="AD42" s="203">
        <f t="shared" si="9"/>
        <v>2865957.15</v>
      </c>
      <c r="AE42" s="156">
        <v>0.99</v>
      </c>
      <c r="AF42" s="203">
        <f t="shared" si="10"/>
        <v>2986629.03</v>
      </c>
      <c r="AG42" s="156">
        <v>1</v>
      </c>
      <c r="AH42" s="203">
        <f t="shared" si="11"/>
        <v>3016797</v>
      </c>
      <c r="AI42" s="156">
        <v>1</v>
      </c>
      <c r="AJ42" s="203">
        <f t="shared" si="12"/>
        <v>3016797</v>
      </c>
      <c r="AK42" s="156"/>
      <c r="AL42" s="203">
        <f t="shared" si="13"/>
        <v>3016797</v>
      </c>
      <c r="AM42" s="156"/>
      <c r="AN42" s="203">
        <f t="shared" si="14"/>
        <v>3016797</v>
      </c>
    </row>
    <row r="43" spans="1:40" s="183" customFormat="1" x14ac:dyDescent="0.25">
      <c r="A43" s="4"/>
      <c r="B43" s="4" t="s">
        <v>208</v>
      </c>
      <c r="C43" s="200">
        <f>+SUMIF(Info!A:A,B43,Info!I:I)</f>
        <v>1557</v>
      </c>
      <c r="D43" s="200">
        <f>+SUMIF(Info!W:W,B43,Info!$U:$U)</f>
        <v>0</v>
      </c>
      <c r="E43" s="245" t="s">
        <v>463</v>
      </c>
      <c r="F43" s="246">
        <v>0</v>
      </c>
      <c r="G43" s="245" t="s">
        <v>463</v>
      </c>
      <c r="H43" s="246">
        <v>0</v>
      </c>
      <c r="I43" s="245" t="s">
        <v>463</v>
      </c>
      <c r="J43" s="246">
        <v>0</v>
      </c>
      <c r="K43" s="245" t="s">
        <v>463</v>
      </c>
      <c r="L43" s="246">
        <v>0</v>
      </c>
      <c r="M43" s="245" t="s">
        <v>463</v>
      </c>
      <c r="N43" s="246">
        <v>0</v>
      </c>
      <c r="O43" s="245" t="s">
        <v>463</v>
      </c>
      <c r="P43" s="246">
        <v>0</v>
      </c>
      <c r="Q43" s="245" t="s">
        <v>463</v>
      </c>
      <c r="R43" s="246">
        <v>0</v>
      </c>
      <c r="S43" s="245" t="s">
        <v>463</v>
      </c>
      <c r="T43" s="246">
        <v>0</v>
      </c>
      <c r="U43" s="245" t="s">
        <v>463</v>
      </c>
      <c r="V43" s="246">
        <v>0</v>
      </c>
      <c r="W43" s="245" t="s">
        <v>463</v>
      </c>
      <c r="X43" s="246">
        <v>0</v>
      </c>
      <c r="Y43" s="245">
        <f t="shared" si="0"/>
        <v>0</v>
      </c>
      <c r="Z43" s="246">
        <f>SUMIF(Info!$A:$A,Cashflow!$B43,Info!$J:$J)</f>
        <v>0</v>
      </c>
      <c r="AA43" s="155"/>
      <c r="AB43" s="201">
        <f t="shared" si="8"/>
        <v>0</v>
      </c>
      <c r="AC43" s="155">
        <v>1</v>
      </c>
      <c r="AD43" s="201">
        <f t="shared" si="9"/>
        <v>1557</v>
      </c>
      <c r="AE43" s="155"/>
      <c r="AF43" s="201">
        <f t="shared" si="10"/>
        <v>1557</v>
      </c>
      <c r="AG43" s="155"/>
      <c r="AH43" s="201">
        <f t="shared" si="11"/>
        <v>1557</v>
      </c>
      <c r="AI43" s="155"/>
      <c r="AJ43" s="201">
        <f t="shared" si="12"/>
        <v>1557</v>
      </c>
      <c r="AK43" s="155"/>
      <c r="AL43" s="201">
        <f t="shared" si="13"/>
        <v>1557</v>
      </c>
      <c r="AM43" s="155"/>
      <c r="AN43" s="201">
        <f t="shared" si="14"/>
        <v>1557</v>
      </c>
    </row>
    <row r="44" spans="1:40" s="183" customFormat="1" x14ac:dyDescent="0.25">
      <c r="A44" s="2"/>
      <c r="B44" s="2" t="s">
        <v>212</v>
      </c>
      <c r="C44" s="202">
        <f>+SUMIF(Info!A:A,B44,Info!I:I)</f>
        <v>155550</v>
      </c>
      <c r="D44" s="202">
        <f>+SUMIF(Info!W:W,B44,Info!$U:$U)</f>
        <v>0</v>
      </c>
      <c r="E44" s="243" t="s">
        <v>463</v>
      </c>
      <c r="F44" s="244">
        <v>0</v>
      </c>
      <c r="G44" s="243" t="s">
        <v>463</v>
      </c>
      <c r="H44" s="244">
        <v>0</v>
      </c>
      <c r="I44" s="243" t="s">
        <v>463</v>
      </c>
      <c r="J44" s="244">
        <v>0</v>
      </c>
      <c r="K44" s="243" t="s">
        <v>463</v>
      </c>
      <c r="L44" s="244">
        <v>0</v>
      </c>
      <c r="M44" s="243" t="s">
        <v>463</v>
      </c>
      <c r="N44" s="244">
        <v>0</v>
      </c>
      <c r="O44" s="243" t="s">
        <v>463</v>
      </c>
      <c r="P44" s="244">
        <v>0</v>
      </c>
      <c r="Q44" s="243" t="s">
        <v>463</v>
      </c>
      <c r="R44" s="244">
        <v>0</v>
      </c>
      <c r="S44" s="243" t="s">
        <v>463</v>
      </c>
      <c r="T44" s="244">
        <v>0</v>
      </c>
      <c r="U44" s="243" t="s">
        <v>463</v>
      </c>
      <c r="V44" s="244">
        <v>0</v>
      </c>
      <c r="W44" s="243" t="s">
        <v>463</v>
      </c>
      <c r="X44" s="244">
        <v>0</v>
      </c>
      <c r="Y44" s="243">
        <f t="shared" si="0"/>
        <v>4.9299967855994851E-2</v>
      </c>
      <c r="Z44" s="244">
        <f>SUMIF(Info!$A:$A,Cashflow!$B44,Info!$J:$J)</f>
        <v>7668.61</v>
      </c>
      <c r="AA44" s="156">
        <v>0.155</v>
      </c>
      <c r="AB44" s="203">
        <f t="shared" si="1"/>
        <v>24110.25</v>
      </c>
      <c r="AC44" s="156">
        <v>0.4</v>
      </c>
      <c r="AD44" s="203">
        <f t="shared" si="2"/>
        <v>62220</v>
      </c>
      <c r="AE44" s="156">
        <v>0.6</v>
      </c>
      <c r="AF44" s="203">
        <f t="shared" si="3"/>
        <v>93330</v>
      </c>
      <c r="AG44" s="156">
        <v>0.8</v>
      </c>
      <c r="AH44" s="203">
        <f t="shared" si="4"/>
        <v>124440</v>
      </c>
      <c r="AI44" s="156">
        <v>1</v>
      </c>
      <c r="AJ44" s="203">
        <f t="shared" si="5"/>
        <v>155550</v>
      </c>
      <c r="AK44" s="156"/>
      <c r="AL44" s="203">
        <f t="shared" si="6"/>
        <v>155550</v>
      </c>
      <c r="AM44" s="156"/>
      <c r="AN44" s="203">
        <f t="shared" si="7"/>
        <v>155550</v>
      </c>
    </row>
    <row r="45" spans="1:40" s="183" customFormat="1" x14ac:dyDescent="0.25">
      <c r="A45" s="4"/>
      <c r="B45" s="4" t="s">
        <v>216</v>
      </c>
      <c r="C45" s="200">
        <f>+SUMIF(Info!A:A,B45,Info!I:I)</f>
        <v>383457</v>
      </c>
      <c r="D45" s="200">
        <f>+SUMIF(Info!W:W,B45,Info!$U:$U)</f>
        <v>0</v>
      </c>
      <c r="E45" s="245" t="s">
        <v>463</v>
      </c>
      <c r="F45" s="246">
        <v>0</v>
      </c>
      <c r="G45" s="245" t="s">
        <v>463</v>
      </c>
      <c r="H45" s="246">
        <v>0</v>
      </c>
      <c r="I45" s="245" t="s">
        <v>463</v>
      </c>
      <c r="J45" s="246">
        <v>0</v>
      </c>
      <c r="K45" s="245" t="s">
        <v>463</v>
      </c>
      <c r="L45" s="246">
        <v>0</v>
      </c>
      <c r="M45" s="245" t="s">
        <v>463</v>
      </c>
      <c r="N45" s="246">
        <v>0</v>
      </c>
      <c r="O45" s="245" t="s">
        <v>463</v>
      </c>
      <c r="P45" s="246">
        <v>0</v>
      </c>
      <c r="Q45" s="245" t="s">
        <v>463</v>
      </c>
      <c r="R45" s="246">
        <v>0</v>
      </c>
      <c r="S45" s="245" t="s">
        <v>463</v>
      </c>
      <c r="T45" s="246">
        <v>0</v>
      </c>
      <c r="U45" s="245" t="s">
        <v>463</v>
      </c>
      <c r="V45" s="246">
        <v>0</v>
      </c>
      <c r="W45" s="245" t="s">
        <v>463</v>
      </c>
      <c r="X45" s="246">
        <v>0</v>
      </c>
      <c r="Y45" s="245">
        <f t="shared" si="0"/>
        <v>6.7499980441092483E-2</v>
      </c>
      <c r="Z45" s="246">
        <f>SUMIF(Info!$A:$A,Cashflow!$B45,Info!$J:$J)</f>
        <v>25883.34</v>
      </c>
      <c r="AA45" s="155">
        <v>0.185</v>
      </c>
      <c r="AB45" s="201">
        <f t="shared" si="1"/>
        <v>70939.544999999998</v>
      </c>
      <c r="AC45" s="155">
        <v>0.4</v>
      </c>
      <c r="AD45" s="201">
        <f t="shared" si="2"/>
        <v>153382.80000000002</v>
      </c>
      <c r="AE45" s="155">
        <v>0.6</v>
      </c>
      <c r="AF45" s="201">
        <f t="shared" si="3"/>
        <v>230074.19999999998</v>
      </c>
      <c r="AG45" s="155">
        <v>0.8</v>
      </c>
      <c r="AH45" s="201">
        <f t="shared" si="4"/>
        <v>306765.60000000003</v>
      </c>
      <c r="AI45" s="155">
        <v>1</v>
      </c>
      <c r="AJ45" s="201">
        <f t="shared" si="5"/>
        <v>383457</v>
      </c>
      <c r="AK45" s="155"/>
      <c r="AL45" s="201">
        <f t="shared" si="6"/>
        <v>383457</v>
      </c>
      <c r="AM45" s="155"/>
      <c r="AN45" s="201">
        <f t="shared" si="7"/>
        <v>383457</v>
      </c>
    </row>
    <row r="46" spans="1:40" s="183" customFormat="1" x14ac:dyDescent="0.25">
      <c r="A46" s="2"/>
      <c r="B46" s="2" t="s">
        <v>220</v>
      </c>
      <c r="C46" s="202">
        <f>+SUMIF(Info!A:A,B46,Info!I:I)</f>
        <v>64499</v>
      </c>
      <c r="D46" s="202">
        <f>+SUMIF(Info!W:W,B46,Info!$U:$U)</f>
        <v>0</v>
      </c>
      <c r="E46" s="243" t="s">
        <v>463</v>
      </c>
      <c r="F46" s="244">
        <v>0</v>
      </c>
      <c r="G46" s="243" t="s">
        <v>463</v>
      </c>
      <c r="H46" s="244">
        <v>0</v>
      </c>
      <c r="I46" s="243" t="s">
        <v>463</v>
      </c>
      <c r="J46" s="244">
        <v>0</v>
      </c>
      <c r="K46" s="243" t="s">
        <v>463</v>
      </c>
      <c r="L46" s="244">
        <v>0</v>
      </c>
      <c r="M46" s="243" t="s">
        <v>463</v>
      </c>
      <c r="N46" s="244">
        <v>0</v>
      </c>
      <c r="O46" s="243" t="s">
        <v>463</v>
      </c>
      <c r="P46" s="244">
        <v>0</v>
      </c>
      <c r="Q46" s="243" t="s">
        <v>463</v>
      </c>
      <c r="R46" s="244">
        <v>0</v>
      </c>
      <c r="S46" s="243" t="s">
        <v>463</v>
      </c>
      <c r="T46" s="244">
        <v>0</v>
      </c>
      <c r="U46" s="243" t="s">
        <v>463</v>
      </c>
      <c r="V46" s="244">
        <v>0</v>
      </c>
      <c r="W46" s="243" t="s">
        <v>463</v>
      </c>
      <c r="X46" s="244">
        <v>0</v>
      </c>
      <c r="Y46" s="243">
        <f t="shared" si="0"/>
        <v>0</v>
      </c>
      <c r="Z46" s="244">
        <f>SUMIF(Info!$A:$A,Cashflow!$B46,Info!$J:$J)</f>
        <v>0</v>
      </c>
      <c r="AA46" s="156">
        <v>0</v>
      </c>
      <c r="AB46" s="203">
        <f t="shared" si="1"/>
        <v>0</v>
      </c>
      <c r="AC46" s="156"/>
      <c r="AD46" s="203">
        <f t="shared" si="2"/>
        <v>0</v>
      </c>
      <c r="AE46" s="156">
        <v>0.5</v>
      </c>
      <c r="AF46" s="203">
        <f t="shared" si="3"/>
        <v>32249.5</v>
      </c>
      <c r="AG46" s="156">
        <v>1</v>
      </c>
      <c r="AH46" s="203">
        <f t="shared" si="4"/>
        <v>64499</v>
      </c>
      <c r="AI46" s="156"/>
      <c r="AJ46" s="203">
        <f t="shared" si="5"/>
        <v>64499</v>
      </c>
      <c r="AK46" s="156"/>
      <c r="AL46" s="203">
        <f t="shared" si="6"/>
        <v>64499</v>
      </c>
      <c r="AM46" s="156"/>
      <c r="AN46" s="203">
        <f t="shared" si="7"/>
        <v>64499</v>
      </c>
    </row>
    <row r="47" spans="1:40" s="183" customFormat="1" x14ac:dyDescent="0.25">
      <c r="A47" s="4"/>
      <c r="B47" s="4" t="s">
        <v>224</v>
      </c>
      <c r="C47" s="200">
        <f>+SUMIF(Info!A:A,B47,Info!I:I)</f>
        <v>1057328</v>
      </c>
      <c r="D47" s="200">
        <f>+SUMIF(Info!W:W,B47,Info!$U:$U)</f>
        <v>0</v>
      </c>
      <c r="E47" s="245" t="s">
        <v>463</v>
      </c>
      <c r="F47" s="246">
        <v>0</v>
      </c>
      <c r="G47" s="245" t="s">
        <v>463</v>
      </c>
      <c r="H47" s="246">
        <v>0</v>
      </c>
      <c r="I47" s="245" t="s">
        <v>463</v>
      </c>
      <c r="J47" s="246">
        <v>0</v>
      </c>
      <c r="K47" s="245" t="s">
        <v>463</v>
      </c>
      <c r="L47" s="246">
        <v>0</v>
      </c>
      <c r="M47" s="245" t="s">
        <v>463</v>
      </c>
      <c r="N47" s="246">
        <v>0</v>
      </c>
      <c r="O47" s="245" t="s">
        <v>463</v>
      </c>
      <c r="P47" s="246">
        <v>0</v>
      </c>
      <c r="Q47" s="245" t="s">
        <v>463</v>
      </c>
      <c r="R47" s="246">
        <v>0</v>
      </c>
      <c r="S47" s="245" t="s">
        <v>463</v>
      </c>
      <c r="T47" s="246">
        <v>0</v>
      </c>
      <c r="U47" s="245" t="s">
        <v>463</v>
      </c>
      <c r="V47" s="246">
        <v>0</v>
      </c>
      <c r="W47" s="245">
        <v>2.3799993947006038E-2</v>
      </c>
      <c r="X47" s="246">
        <v>25164.400000000001</v>
      </c>
      <c r="Y47" s="245">
        <f t="shared" si="0"/>
        <v>8.3499992433757553E-2</v>
      </c>
      <c r="Z47" s="246">
        <f>SUMIF(Info!$A:$A,Cashflow!$B47,Info!$J:$J)</f>
        <v>88286.88</v>
      </c>
      <c r="AA47" s="155">
        <v>0.25</v>
      </c>
      <c r="AB47" s="201">
        <f t="shared" si="1"/>
        <v>264332</v>
      </c>
      <c r="AC47" s="155">
        <v>0.5</v>
      </c>
      <c r="AD47" s="201">
        <f t="shared" si="2"/>
        <v>528664</v>
      </c>
      <c r="AE47" s="155">
        <v>0.7</v>
      </c>
      <c r="AF47" s="201">
        <f t="shared" si="3"/>
        <v>740129.6</v>
      </c>
      <c r="AG47" s="155">
        <v>0.9</v>
      </c>
      <c r="AH47" s="201">
        <f t="shared" si="4"/>
        <v>951595.20000000007</v>
      </c>
      <c r="AI47" s="155">
        <v>1</v>
      </c>
      <c r="AJ47" s="201">
        <f t="shared" si="5"/>
        <v>1057328</v>
      </c>
      <c r="AK47" s="155"/>
      <c r="AL47" s="201">
        <f t="shared" si="6"/>
        <v>1057328</v>
      </c>
      <c r="AM47" s="155"/>
      <c r="AN47" s="201">
        <f t="shared" si="7"/>
        <v>1057328</v>
      </c>
    </row>
    <row r="48" spans="1:40" s="183" customFormat="1" x14ac:dyDescent="0.25">
      <c r="A48" s="2"/>
      <c r="B48" s="2" t="s">
        <v>229</v>
      </c>
      <c r="C48" s="202">
        <f>+SUMIF(Info!A:A,B48,Info!I:I)</f>
        <v>281266</v>
      </c>
      <c r="D48" s="202">
        <f>+SUMIF(Info!W:W,B48,Info!$U:$U)</f>
        <v>0</v>
      </c>
      <c r="E48" s="243" t="s">
        <v>463</v>
      </c>
      <c r="F48" s="244">
        <v>0</v>
      </c>
      <c r="G48" s="243" t="s">
        <v>463</v>
      </c>
      <c r="H48" s="244">
        <v>0</v>
      </c>
      <c r="I48" s="243" t="s">
        <v>463</v>
      </c>
      <c r="J48" s="244">
        <v>0</v>
      </c>
      <c r="K48" s="243" t="s">
        <v>463</v>
      </c>
      <c r="L48" s="244">
        <v>0</v>
      </c>
      <c r="M48" s="243" t="s">
        <v>463</v>
      </c>
      <c r="N48" s="244">
        <v>0</v>
      </c>
      <c r="O48" s="243" t="s">
        <v>463</v>
      </c>
      <c r="P48" s="244">
        <v>0</v>
      </c>
      <c r="Q48" s="243" t="s">
        <v>463</v>
      </c>
      <c r="R48" s="244">
        <v>0</v>
      </c>
      <c r="S48" s="243" t="s">
        <v>463</v>
      </c>
      <c r="T48" s="244">
        <v>0</v>
      </c>
      <c r="U48" s="243" t="s">
        <v>463</v>
      </c>
      <c r="V48" s="244">
        <v>0</v>
      </c>
      <c r="W48" s="243" t="s">
        <v>463</v>
      </c>
      <c r="X48" s="244">
        <v>0</v>
      </c>
      <c r="Y48" s="243">
        <f t="shared" si="0"/>
        <v>0</v>
      </c>
      <c r="Z48" s="244">
        <f>SUMIF(Info!$A:$A,Cashflow!$B48,Info!$J:$J)</f>
        <v>0</v>
      </c>
      <c r="AA48" s="156">
        <v>0.05</v>
      </c>
      <c r="AB48" s="203">
        <f t="shared" si="1"/>
        <v>14063.300000000001</v>
      </c>
      <c r="AC48" s="156">
        <v>0.25</v>
      </c>
      <c r="AD48" s="203">
        <f t="shared" si="2"/>
        <v>70316.5</v>
      </c>
      <c r="AE48" s="156">
        <v>0.5</v>
      </c>
      <c r="AF48" s="203">
        <f t="shared" si="3"/>
        <v>140633</v>
      </c>
      <c r="AG48" s="156">
        <v>0.85</v>
      </c>
      <c r="AH48" s="203">
        <f t="shared" si="4"/>
        <v>239076.1</v>
      </c>
      <c r="AI48" s="156">
        <v>1</v>
      </c>
      <c r="AJ48" s="203">
        <f t="shared" si="5"/>
        <v>281266</v>
      </c>
      <c r="AK48" s="156"/>
      <c r="AL48" s="203">
        <f t="shared" si="6"/>
        <v>281266</v>
      </c>
      <c r="AM48" s="156"/>
      <c r="AN48" s="203">
        <f t="shared" si="7"/>
        <v>281266</v>
      </c>
    </row>
    <row r="49" spans="1:40" s="183" customFormat="1" x14ac:dyDescent="0.25">
      <c r="A49" s="4"/>
      <c r="B49" s="4" t="s">
        <v>233</v>
      </c>
      <c r="C49" s="200">
        <f>+SUMIF(Info!A:A,B49,Info!I:I)</f>
        <v>2420741</v>
      </c>
      <c r="D49" s="200">
        <f>+SUMIF(Info!W:W,B49,Info!$U:$U)</f>
        <v>0</v>
      </c>
      <c r="E49" s="245">
        <v>1.2392899529524224E-2</v>
      </c>
      <c r="F49" s="246">
        <v>30000</v>
      </c>
      <c r="G49" s="245">
        <v>1.2392899529524224E-2</v>
      </c>
      <c r="H49" s="246">
        <v>30000</v>
      </c>
      <c r="I49" s="245">
        <v>5.5550176578163461E-2</v>
      </c>
      <c r="J49" s="246">
        <v>134472.59</v>
      </c>
      <c r="K49" s="245">
        <v>0.16800000082619329</v>
      </c>
      <c r="L49" s="246">
        <v>406684.49</v>
      </c>
      <c r="M49" s="245">
        <v>0.31079999884332937</v>
      </c>
      <c r="N49" s="246">
        <v>752366.3</v>
      </c>
      <c r="O49" s="245">
        <v>0.34730000028916763</v>
      </c>
      <c r="P49" s="246">
        <v>840723.35</v>
      </c>
      <c r="Q49" s="245">
        <v>0.3770999995455937</v>
      </c>
      <c r="R49" s="246">
        <v>912861.43</v>
      </c>
      <c r="S49" s="245">
        <v>0.4345999964473688</v>
      </c>
      <c r="T49" s="246">
        <v>1052054.03</v>
      </c>
      <c r="U49" s="245">
        <v>0.52159999768665877</v>
      </c>
      <c r="V49" s="246">
        <v>1262658.5</v>
      </c>
      <c r="W49" s="245">
        <v>0.58269999971083231</v>
      </c>
      <c r="X49" s="246">
        <v>1410565.78</v>
      </c>
      <c r="Y49" s="245">
        <f t="shared" si="0"/>
        <v>0.67669999805844572</v>
      </c>
      <c r="Z49" s="246">
        <f>SUMIF(Info!$A:$A,Cashflow!$B49,Info!$J:$J)</f>
        <v>1638115.43</v>
      </c>
      <c r="AA49" s="155">
        <v>0.73</v>
      </c>
      <c r="AB49" s="201">
        <f t="shared" si="1"/>
        <v>1767140.93</v>
      </c>
      <c r="AC49" s="155">
        <v>0.82</v>
      </c>
      <c r="AD49" s="201">
        <f t="shared" si="2"/>
        <v>1985007.6199999999</v>
      </c>
      <c r="AE49" s="155">
        <v>0.87</v>
      </c>
      <c r="AF49" s="201">
        <f t="shared" si="3"/>
        <v>2106044.67</v>
      </c>
      <c r="AG49" s="155">
        <v>0.9</v>
      </c>
      <c r="AH49" s="201">
        <f t="shared" si="4"/>
        <v>2178666.9</v>
      </c>
      <c r="AI49" s="155">
        <v>0.95</v>
      </c>
      <c r="AJ49" s="201">
        <f t="shared" si="5"/>
        <v>2299703.9499999997</v>
      </c>
      <c r="AK49" s="155">
        <v>1</v>
      </c>
      <c r="AL49" s="201">
        <f t="shared" si="6"/>
        <v>2420741</v>
      </c>
      <c r="AM49" s="155"/>
      <c r="AN49" s="201">
        <f t="shared" si="7"/>
        <v>2420741</v>
      </c>
    </row>
    <row r="50" spans="1:40" s="183" customFormat="1" x14ac:dyDescent="0.25">
      <c r="A50" s="2"/>
      <c r="B50" s="2" t="s">
        <v>236</v>
      </c>
      <c r="C50" s="202">
        <f>+SUMIF(Info!A:A,B50,Info!I:I)</f>
        <v>2186001</v>
      </c>
      <c r="D50" s="202">
        <f>+SUMIF(Info!W:W,B50,Info!$U:$U)</f>
        <v>0</v>
      </c>
      <c r="E50" s="243" t="s">
        <v>463</v>
      </c>
      <c r="F50" s="244">
        <v>0</v>
      </c>
      <c r="G50" s="243" t="s">
        <v>463</v>
      </c>
      <c r="H50" s="244">
        <v>0</v>
      </c>
      <c r="I50" s="243">
        <v>1.2399998902104803E-2</v>
      </c>
      <c r="J50" s="244">
        <v>27106.41</v>
      </c>
      <c r="K50" s="243">
        <v>1.4410519482836467E-2</v>
      </c>
      <c r="L50" s="244">
        <v>31501.41</v>
      </c>
      <c r="M50" s="243">
        <v>3.0899999588289297E-2</v>
      </c>
      <c r="N50" s="244">
        <v>67547.429999999993</v>
      </c>
      <c r="O50" s="243">
        <v>4.9699995562673578E-2</v>
      </c>
      <c r="P50" s="244">
        <v>108644.24</v>
      </c>
      <c r="Q50" s="243">
        <v>6.1899999130832967E-2</v>
      </c>
      <c r="R50" s="244">
        <v>135313.46</v>
      </c>
      <c r="S50" s="243">
        <v>0.1365999969807882</v>
      </c>
      <c r="T50" s="244">
        <v>298607.73</v>
      </c>
      <c r="U50" s="243">
        <v>0.21369999830741157</v>
      </c>
      <c r="V50" s="244">
        <v>467148.41</v>
      </c>
      <c r="W50" s="243">
        <v>0.31259999881061357</v>
      </c>
      <c r="X50" s="244">
        <v>683343.91</v>
      </c>
      <c r="Y50" s="243">
        <f t="shared" si="0"/>
        <v>0.37739999661482315</v>
      </c>
      <c r="Z50" s="244">
        <f>SUMIF(Info!$A:$A,Cashflow!$B50,Info!$J:$J)</f>
        <v>824996.77</v>
      </c>
      <c r="AA50" s="156">
        <v>0.42</v>
      </c>
      <c r="AB50" s="203">
        <f t="shared" si="1"/>
        <v>918120.41999999993</v>
      </c>
      <c r="AC50" s="156">
        <v>0.52</v>
      </c>
      <c r="AD50" s="203">
        <f t="shared" si="2"/>
        <v>1136720.52</v>
      </c>
      <c r="AE50" s="156">
        <v>0.7</v>
      </c>
      <c r="AF50" s="203">
        <f t="shared" si="3"/>
        <v>1530200.7</v>
      </c>
      <c r="AG50" s="156">
        <v>0.8</v>
      </c>
      <c r="AH50" s="203">
        <f t="shared" si="4"/>
        <v>1748800.8</v>
      </c>
      <c r="AI50" s="156">
        <v>0.9</v>
      </c>
      <c r="AJ50" s="203">
        <f t="shared" si="5"/>
        <v>1967400.9000000001</v>
      </c>
      <c r="AK50" s="156">
        <v>1</v>
      </c>
      <c r="AL50" s="203">
        <f t="shared" si="6"/>
        <v>2186001</v>
      </c>
      <c r="AM50" s="156"/>
      <c r="AN50" s="203">
        <f t="shared" si="7"/>
        <v>2186001</v>
      </c>
    </row>
    <row r="51" spans="1:40" s="183" customFormat="1" x14ac:dyDescent="0.25">
      <c r="A51" s="4"/>
      <c r="B51" s="4" t="s">
        <v>238</v>
      </c>
      <c r="C51" s="200">
        <f>+SUMIF(Info!A:A,B51,Info!I:I)</f>
        <v>1556200</v>
      </c>
      <c r="D51" s="200">
        <f>+SUMIF(Info!W:W,B51,Info!$U:$U)</f>
        <v>0</v>
      </c>
      <c r="E51" s="245" t="s">
        <v>463</v>
      </c>
      <c r="F51" s="246">
        <v>0</v>
      </c>
      <c r="G51" s="245" t="s">
        <v>463</v>
      </c>
      <c r="H51" s="246">
        <v>0</v>
      </c>
      <c r="I51" s="245">
        <v>1.2400000000000001E-2</v>
      </c>
      <c r="J51" s="246">
        <v>19296.88</v>
      </c>
      <c r="K51" s="245">
        <v>1.2400000000000001E-2</v>
      </c>
      <c r="L51" s="246">
        <v>19296.88</v>
      </c>
      <c r="M51" s="245">
        <v>1.2400000000000001E-2</v>
      </c>
      <c r="N51" s="246">
        <v>19296.88</v>
      </c>
      <c r="O51" s="245">
        <v>0.02</v>
      </c>
      <c r="P51" s="246">
        <v>31124</v>
      </c>
      <c r="Q51" s="245">
        <v>0.02</v>
      </c>
      <c r="R51" s="246">
        <v>31124</v>
      </c>
      <c r="S51" s="245">
        <v>0.11610000000000001</v>
      </c>
      <c r="T51" s="246">
        <v>180674.82</v>
      </c>
      <c r="U51" s="245">
        <v>0.38039999999999996</v>
      </c>
      <c r="V51" s="246">
        <v>591978.48</v>
      </c>
      <c r="W51" s="245">
        <v>0.59220000000000006</v>
      </c>
      <c r="X51" s="246">
        <v>921581.64</v>
      </c>
      <c r="Y51" s="245">
        <f t="shared" si="0"/>
        <v>0.69540000000000002</v>
      </c>
      <c r="Z51" s="246">
        <f>SUMIF(Info!$A:$A,Cashflow!$B51,Info!$J:$J)</f>
        <v>1082181.48</v>
      </c>
      <c r="AA51" s="155">
        <v>0.75</v>
      </c>
      <c r="AB51" s="201">
        <f t="shared" si="1"/>
        <v>1167150</v>
      </c>
      <c r="AC51" s="155">
        <v>0.8</v>
      </c>
      <c r="AD51" s="201">
        <f t="shared" si="2"/>
        <v>1244960</v>
      </c>
      <c r="AE51" s="155">
        <v>0.85</v>
      </c>
      <c r="AF51" s="201">
        <f t="shared" si="3"/>
        <v>1322770</v>
      </c>
      <c r="AG51" s="155">
        <v>0.95</v>
      </c>
      <c r="AH51" s="201">
        <f t="shared" si="4"/>
        <v>1478390</v>
      </c>
      <c r="AI51" s="155">
        <v>1</v>
      </c>
      <c r="AJ51" s="201">
        <f t="shared" si="5"/>
        <v>1556200</v>
      </c>
      <c r="AK51" s="155">
        <v>1</v>
      </c>
      <c r="AL51" s="201">
        <f t="shared" si="6"/>
        <v>1556200</v>
      </c>
      <c r="AM51" s="155"/>
      <c r="AN51" s="201">
        <f t="shared" si="7"/>
        <v>1556200</v>
      </c>
    </row>
    <row r="52" spans="1:40" s="183" customFormat="1" x14ac:dyDescent="0.25">
      <c r="A52" s="2"/>
      <c r="B52" s="2" t="s">
        <v>168</v>
      </c>
      <c r="C52" s="202">
        <f>+SUMIF(Info!A:A,B52,Info!I:I)</f>
        <v>618960</v>
      </c>
      <c r="D52" s="202">
        <f>+SUMIF(Info!W:W,B52,Info!$U:$U)</f>
        <v>0</v>
      </c>
      <c r="E52" s="243" t="s">
        <v>463</v>
      </c>
      <c r="F52" s="244">
        <v>0</v>
      </c>
      <c r="G52" s="243">
        <v>1.2399993537546854E-2</v>
      </c>
      <c r="H52" s="244">
        <v>7675.1</v>
      </c>
      <c r="I52" s="243">
        <v>1.2399993537546854E-2</v>
      </c>
      <c r="J52" s="244">
        <v>7675.1</v>
      </c>
      <c r="K52" s="243">
        <v>1.2399831976218172E-2</v>
      </c>
      <c r="L52" s="244">
        <v>7675</v>
      </c>
      <c r="M52" s="243">
        <v>0.02</v>
      </c>
      <c r="N52" s="244">
        <v>12379.2</v>
      </c>
      <c r="O52" s="243">
        <v>5.639999353754685E-2</v>
      </c>
      <c r="P52" s="244">
        <v>34909.339999999997</v>
      </c>
      <c r="Q52" s="243">
        <v>5.639999353754685E-2</v>
      </c>
      <c r="R52" s="244">
        <v>34909.339999999997</v>
      </c>
      <c r="S52" s="243">
        <v>0.31569999676877347</v>
      </c>
      <c r="T52" s="244">
        <v>195405.67</v>
      </c>
      <c r="U52" s="243">
        <v>0.43709999030632024</v>
      </c>
      <c r="V52" s="244">
        <v>270547.40999999997</v>
      </c>
      <c r="W52" s="243">
        <v>0.66609999030632028</v>
      </c>
      <c r="X52" s="244">
        <v>412289.25</v>
      </c>
      <c r="Y52" s="243">
        <f t="shared" si="0"/>
        <v>0.81379998707509371</v>
      </c>
      <c r="Z52" s="244">
        <f>SUMIF(Info!$A:$A,Cashflow!$B52,Info!$J:$J)</f>
        <v>503709.64</v>
      </c>
      <c r="AA52" s="156">
        <v>0.86</v>
      </c>
      <c r="AB52" s="203">
        <f t="shared" si="1"/>
        <v>532305.6</v>
      </c>
      <c r="AC52" s="156">
        <v>0.9</v>
      </c>
      <c r="AD52" s="203">
        <f t="shared" si="2"/>
        <v>557064</v>
      </c>
      <c r="AE52" s="156">
        <v>0.95</v>
      </c>
      <c r="AF52" s="203">
        <f t="shared" si="3"/>
        <v>588012</v>
      </c>
      <c r="AG52" s="156">
        <v>1</v>
      </c>
      <c r="AH52" s="203">
        <f t="shared" si="4"/>
        <v>618960</v>
      </c>
      <c r="AI52" s="156">
        <v>1</v>
      </c>
      <c r="AJ52" s="203">
        <f t="shared" si="5"/>
        <v>618960</v>
      </c>
      <c r="AK52" s="156">
        <v>1</v>
      </c>
      <c r="AL52" s="203">
        <f t="shared" si="6"/>
        <v>618960</v>
      </c>
      <c r="AM52" s="156"/>
      <c r="AN52" s="203">
        <f t="shared" si="7"/>
        <v>618960</v>
      </c>
    </row>
    <row r="53" spans="1:40" s="183" customFormat="1" x14ac:dyDescent="0.25">
      <c r="A53" s="4"/>
      <c r="B53" s="4" t="s">
        <v>241</v>
      </c>
      <c r="C53" s="200">
        <f>+SUMIF(Info!A:A,B53,Info!I:I)</f>
        <v>363688</v>
      </c>
      <c r="D53" s="200">
        <f>+SUMIF(Info!W:W,B53,Info!$U:$U)</f>
        <v>0</v>
      </c>
      <c r="E53" s="245" t="s">
        <v>463</v>
      </c>
      <c r="F53" s="246">
        <v>0</v>
      </c>
      <c r="G53" s="245">
        <v>1.2399996700468532E-2</v>
      </c>
      <c r="H53" s="246">
        <v>4509.7299999999996</v>
      </c>
      <c r="I53" s="245">
        <v>1.2399996700468532E-2</v>
      </c>
      <c r="J53" s="246">
        <v>4509.7299999999996</v>
      </c>
      <c r="K53" s="245">
        <v>1.2399996700468532E-2</v>
      </c>
      <c r="L53" s="246">
        <v>4509.7299999999996</v>
      </c>
      <c r="M53" s="245">
        <v>1.2399996700468532E-2</v>
      </c>
      <c r="N53" s="246">
        <v>4509.7299999999996</v>
      </c>
      <c r="O53" s="245">
        <v>1.2399996700468532E-2</v>
      </c>
      <c r="P53" s="246">
        <v>4509.7299999999996</v>
      </c>
      <c r="Q53" s="245">
        <v>1.2399996700468532E-2</v>
      </c>
      <c r="R53" s="246">
        <v>4509.7299999999996</v>
      </c>
      <c r="S53" s="245">
        <v>1.2399996700468532E-2</v>
      </c>
      <c r="T53" s="246">
        <v>4509.7299999999996</v>
      </c>
      <c r="U53" s="245">
        <v>1.2399996700468532E-2</v>
      </c>
      <c r="V53" s="246">
        <v>4509.7299999999996</v>
      </c>
      <c r="W53" s="245">
        <v>1.2399996700468532E-2</v>
      </c>
      <c r="X53" s="246">
        <v>4509.7299999999996</v>
      </c>
      <c r="Y53" s="245">
        <f t="shared" si="0"/>
        <v>1.2399996700468532E-2</v>
      </c>
      <c r="Z53" s="246">
        <f>SUMIF(Info!$A:$A,Cashflow!$B53,Info!$J:$J)</f>
        <v>4509.7299999999996</v>
      </c>
      <c r="AA53" s="155">
        <v>0.8</v>
      </c>
      <c r="AB53" s="201">
        <f t="shared" si="1"/>
        <v>290950.40000000002</v>
      </c>
      <c r="AC53" s="155">
        <v>0.95</v>
      </c>
      <c r="AD53" s="201">
        <f t="shared" si="2"/>
        <v>345503.6</v>
      </c>
      <c r="AE53" s="155">
        <v>0.95</v>
      </c>
      <c r="AF53" s="201">
        <f t="shared" si="3"/>
        <v>345503.6</v>
      </c>
      <c r="AG53" s="155">
        <v>0.95</v>
      </c>
      <c r="AH53" s="201">
        <f t="shared" si="4"/>
        <v>345503.6</v>
      </c>
      <c r="AI53" s="155">
        <v>0.95</v>
      </c>
      <c r="AJ53" s="201">
        <f t="shared" si="5"/>
        <v>345503.6</v>
      </c>
      <c r="AK53" s="155">
        <v>1</v>
      </c>
      <c r="AL53" s="201">
        <f t="shared" si="6"/>
        <v>363688</v>
      </c>
      <c r="AM53" s="155"/>
      <c r="AN53" s="201">
        <f t="shared" si="7"/>
        <v>363688</v>
      </c>
    </row>
    <row r="54" spans="1:40" s="183" customFormat="1" x14ac:dyDescent="0.25">
      <c r="A54" s="2"/>
      <c r="B54" s="2" t="s">
        <v>184</v>
      </c>
      <c r="C54" s="202">
        <f>+SUMIF(Info!A:A,B54,Info!I:I)</f>
        <v>428931</v>
      </c>
      <c r="D54" s="202">
        <f>+SUMIF(Info!W:W,B54,Info!$U:$U)</f>
        <v>0</v>
      </c>
      <c r="E54" s="243" t="s">
        <v>463</v>
      </c>
      <c r="F54" s="244">
        <v>0</v>
      </c>
      <c r="G54" s="243" t="s">
        <v>463</v>
      </c>
      <c r="H54" s="244">
        <v>0</v>
      </c>
      <c r="I54" s="243" t="s">
        <v>463</v>
      </c>
      <c r="J54" s="244">
        <v>0</v>
      </c>
      <c r="K54" s="243" t="s">
        <v>463</v>
      </c>
      <c r="L54" s="244">
        <v>0</v>
      </c>
      <c r="M54" s="243" t="s">
        <v>463</v>
      </c>
      <c r="N54" s="244">
        <v>0</v>
      </c>
      <c r="O54" s="243" t="s">
        <v>463</v>
      </c>
      <c r="P54" s="244">
        <v>0</v>
      </c>
      <c r="Q54" s="243" t="s">
        <v>463</v>
      </c>
      <c r="R54" s="244">
        <v>0</v>
      </c>
      <c r="S54" s="243" t="s">
        <v>463</v>
      </c>
      <c r="T54" s="244">
        <v>0</v>
      </c>
      <c r="U54" s="243" t="s">
        <v>463</v>
      </c>
      <c r="V54" s="244">
        <v>0</v>
      </c>
      <c r="W54" s="243" t="s">
        <v>463</v>
      </c>
      <c r="X54" s="244">
        <v>0</v>
      </c>
      <c r="Y54" s="243">
        <f t="shared" si="0"/>
        <v>0</v>
      </c>
      <c r="Z54" s="244">
        <f>SUMIF(Info!$A:$A,Cashflow!$B54,Info!$J:$J)</f>
        <v>0</v>
      </c>
      <c r="AA54" s="156">
        <v>0</v>
      </c>
      <c r="AB54" s="203">
        <f t="shared" si="1"/>
        <v>0</v>
      </c>
      <c r="AC54" s="156">
        <v>0</v>
      </c>
      <c r="AD54" s="203">
        <f t="shared" si="2"/>
        <v>0</v>
      </c>
      <c r="AE54" s="156">
        <v>0</v>
      </c>
      <c r="AF54" s="203">
        <f t="shared" si="3"/>
        <v>0</v>
      </c>
      <c r="AG54" s="156">
        <v>0.3</v>
      </c>
      <c r="AH54" s="203">
        <f t="shared" si="4"/>
        <v>128679.29999999999</v>
      </c>
      <c r="AI54" s="156">
        <v>0.65</v>
      </c>
      <c r="AJ54" s="203">
        <f t="shared" si="5"/>
        <v>278805.15000000002</v>
      </c>
      <c r="AK54" s="156">
        <v>1</v>
      </c>
      <c r="AL54" s="203">
        <f t="shared" si="6"/>
        <v>428931</v>
      </c>
      <c r="AM54" s="156"/>
      <c r="AN54" s="203">
        <f t="shared" si="7"/>
        <v>428931</v>
      </c>
    </row>
    <row r="55" spans="1:40" s="183" customFormat="1" x14ac:dyDescent="0.25">
      <c r="A55" s="4"/>
      <c r="B55" s="4" t="s">
        <v>246</v>
      </c>
      <c r="C55" s="200">
        <f>+SUMIF(Info!A:A,B55,Info!I:I)</f>
        <v>496356</v>
      </c>
      <c r="D55" s="200">
        <f>+SUMIF(Info!W:W,B55,Info!$U:$U)</f>
        <v>0</v>
      </c>
      <c r="E55" s="245" t="s">
        <v>463</v>
      </c>
      <c r="F55" s="246">
        <v>0</v>
      </c>
      <c r="G55" s="245" t="s">
        <v>463</v>
      </c>
      <c r="H55" s="246">
        <v>0</v>
      </c>
      <c r="I55" s="245" t="s">
        <v>463</v>
      </c>
      <c r="J55" s="246">
        <v>0</v>
      </c>
      <c r="K55" s="245" t="s">
        <v>463</v>
      </c>
      <c r="L55" s="246">
        <v>0</v>
      </c>
      <c r="M55" s="245" t="s">
        <v>463</v>
      </c>
      <c r="N55" s="246">
        <v>0</v>
      </c>
      <c r="O55" s="245" t="s">
        <v>463</v>
      </c>
      <c r="P55" s="246">
        <v>0</v>
      </c>
      <c r="Q55" s="245" t="s">
        <v>463</v>
      </c>
      <c r="R55" s="246">
        <v>0</v>
      </c>
      <c r="S55" s="245" t="s">
        <v>463</v>
      </c>
      <c r="T55" s="246">
        <v>0</v>
      </c>
      <c r="U55" s="245" t="s">
        <v>463</v>
      </c>
      <c r="V55" s="246">
        <v>0</v>
      </c>
      <c r="W55" s="245">
        <v>0.02</v>
      </c>
      <c r="X55" s="246">
        <v>9927.1200000000008</v>
      </c>
      <c r="Y55" s="245">
        <f t="shared" si="0"/>
        <v>0.1276999975823804</v>
      </c>
      <c r="Z55" s="246">
        <f>SUMIF(Info!$A:$A,Cashflow!$B55,Info!$J:$J)</f>
        <v>63384.66</v>
      </c>
      <c r="AA55" s="155">
        <v>0.35</v>
      </c>
      <c r="AB55" s="201">
        <f t="shared" si="1"/>
        <v>173724.59999999998</v>
      </c>
      <c r="AC55" s="155">
        <v>0.55000000000000004</v>
      </c>
      <c r="AD55" s="201">
        <f t="shared" si="2"/>
        <v>272995.80000000005</v>
      </c>
      <c r="AE55" s="155">
        <v>0.7</v>
      </c>
      <c r="AF55" s="201">
        <f t="shared" si="3"/>
        <v>347449.19999999995</v>
      </c>
      <c r="AG55" s="155">
        <v>0.85</v>
      </c>
      <c r="AH55" s="201">
        <f t="shared" si="4"/>
        <v>421902.6</v>
      </c>
      <c r="AI55" s="155">
        <v>0.9</v>
      </c>
      <c r="AJ55" s="201">
        <f t="shared" si="5"/>
        <v>446720.4</v>
      </c>
      <c r="AK55" s="155">
        <v>1</v>
      </c>
      <c r="AL55" s="201">
        <f t="shared" si="6"/>
        <v>496356</v>
      </c>
      <c r="AM55" s="155"/>
      <c r="AN55" s="201">
        <f t="shared" si="7"/>
        <v>496356</v>
      </c>
    </row>
    <row r="56" spans="1:40" s="183" customFormat="1" x14ac:dyDescent="0.25">
      <c r="A56" s="2"/>
      <c r="B56" s="2" t="s">
        <v>250</v>
      </c>
      <c r="C56" s="202">
        <f>+SUMIF(Info!A:A,B56,Info!I:I)</f>
        <v>283729</v>
      </c>
      <c r="D56" s="202">
        <f>+SUMIF(Info!W:W,B56,Info!$U:$U)</f>
        <v>0</v>
      </c>
      <c r="E56" s="243" t="s">
        <v>463</v>
      </c>
      <c r="F56" s="244">
        <v>0</v>
      </c>
      <c r="G56" s="243" t="s">
        <v>463</v>
      </c>
      <c r="H56" s="244">
        <v>0</v>
      </c>
      <c r="I56" s="243" t="s">
        <v>463</v>
      </c>
      <c r="J56" s="244">
        <v>0</v>
      </c>
      <c r="K56" s="243" t="s">
        <v>463</v>
      </c>
      <c r="L56" s="244">
        <v>0</v>
      </c>
      <c r="M56" s="243" t="s">
        <v>463</v>
      </c>
      <c r="N56" s="244">
        <v>0</v>
      </c>
      <c r="O56" s="243" t="s">
        <v>463</v>
      </c>
      <c r="P56" s="244">
        <v>0</v>
      </c>
      <c r="Q56" s="243" t="s">
        <v>463</v>
      </c>
      <c r="R56" s="244">
        <v>0</v>
      </c>
      <c r="S56" s="243" t="s">
        <v>463</v>
      </c>
      <c r="T56" s="244">
        <v>0</v>
      </c>
      <c r="U56" s="243" t="s">
        <v>463</v>
      </c>
      <c r="V56" s="244">
        <v>0</v>
      </c>
      <c r="W56" s="243">
        <v>0.11719996898448871</v>
      </c>
      <c r="X56" s="244">
        <v>33253.03</v>
      </c>
      <c r="Y56" s="243">
        <f t="shared" si="0"/>
        <v>0.61519999718040808</v>
      </c>
      <c r="Z56" s="244">
        <f>SUMIF(Info!$A:$A,Cashflow!$B56,Info!$J:$J)</f>
        <v>174550.08</v>
      </c>
      <c r="AA56" s="156">
        <v>0.8</v>
      </c>
      <c r="AB56" s="203">
        <f t="shared" si="1"/>
        <v>226983.2</v>
      </c>
      <c r="AC56" s="156">
        <v>0.9</v>
      </c>
      <c r="AD56" s="203">
        <f t="shared" si="2"/>
        <v>255356.1</v>
      </c>
      <c r="AE56" s="156">
        <v>1</v>
      </c>
      <c r="AF56" s="203">
        <f t="shared" si="3"/>
        <v>283729</v>
      </c>
      <c r="AG56" s="156"/>
      <c r="AH56" s="203">
        <f t="shared" si="4"/>
        <v>283729</v>
      </c>
      <c r="AI56" s="156"/>
      <c r="AJ56" s="203">
        <f t="shared" si="5"/>
        <v>283729</v>
      </c>
      <c r="AK56" s="156"/>
      <c r="AL56" s="203">
        <f t="shared" si="6"/>
        <v>283729</v>
      </c>
      <c r="AM56" s="156"/>
      <c r="AN56" s="203">
        <f t="shared" si="7"/>
        <v>283729</v>
      </c>
    </row>
    <row r="57" spans="1:40" s="183" customFormat="1" x14ac:dyDescent="0.25">
      <c r="A57" s="4"/>
      <c r="B57" s="4" t="s">
        <v>255</v>
      </c>
      <c r="C57" s="200">
        <f>+SUMIF(Info!A:A,B57,Info!I:I)</f>
        <v>38210</v>
      </c>
      <c r="D57" s="200">
        <f>+SUMIF(Info!W:W,B57,Info!$U:$U)</f>
        <v>0</v>
      </c>
      <c r="E57" s="245" t="s">
        <v>463</v>
      </c>
      <c r="F57" s="246">
        <v>0</v>
      </c>
      <c r="G57" s="245" t="s">
        <v>463</v>
      </c>
      <c r="H57" s="246">
        <v>0</v>
      </c>
      <c r="I57" s="245" t="s">
        <v>463</v>
      </c>
      <c r="J57" s="246">
        <v>0</v>
      </c>
      <c r="K57" s="245" t="s">
        <v>463</v>
      </c>
      <c r="L57" s="246">
        <v>0</v>
      </c>
      <c r="M57" s="245" t="s">
        <v>463</v>
      </c>
      <c r="N57" s="246">
        <v>0</v>
      </c>
      <c r="O57" s="245" t="s">
        <v>463</v>
      </c>
      <c r="P57" s="246">
        <v>0</v>
      </c>
      <c r="Q57" s="245" t="s">
        <v>463</v>
      </c>
      <c r="R57" s="246">
        <v>0</v>
      </c>
      <c r="S57" s="245" t="s">
        <v>463</v>
      </c>
      <c r="T57" s="246">
        <v>0</v>
      </c>
      <c r="U57" s="245" t="s">
        <v>463</v>
      </c>
      <c r="V57" s="246">
        <v>0</v>
      </c>
      <c r="W57" s="245" t="s">
        <v>463</v>
      </c>
      <c r="X57" s="246">
        <v>0</v>
      </c>
      <c r="Y57" s="245">
        <f t="shared" si="0"/>
        <v>0</v>
      </c>
      <c r="Z57" s="246">
        <f>SUMIF(Info!$A:$A,Cashflow!$B57,Info!$J:$J)</f>
        <v>0</v>
      </c>
      <c r="AA57" s="155"/>
      <c r="AB57" s="201">
        <f t="shared" si="1"/>
        <v>0</v>
      </c>
      <c r="AC57" s="155">
        <v>0.1</v>
      </c>
      <c r="AD57" s="201">
        <f t="shared" si="2"/>
        <v>3821</v>
      </c>
      <c r="AE57" s="155">
        <v>0.1</v>
      </c>
      <c r="AF57" s="201">
        <f t="shared" si="3"/>
        <v>3821</v>
      </c>
      <c r="AG57" s="155">
        <v>0.4</v>
      </c>
      <c r="AH57" s="201">
        <f t="shared" si="4"/>
        <v>15284</v>
      </c>
      <c r="AI57" s="155">
        <v>0.7</v>
      </c>
      <c r="AJ57" s="201">
        <f t="shared" si="5"/>
        <v>26747</v>
      </c>
      <c r="AK57" s="155">
        <v>1</v>
      </c>
      <c r="AL57" s="201">
        <f t="shared" si="6"/>
        <v>38210</v>
      </c>
      <c r="AM57" s="155"/>
      <c r="AN57" s="201">
        <f t="shared" si="7"/>
        <v>38210</v>
      </c>
    </row>
    <row r="58" spans="1:40" s="183" customFormat="1" x14ac:dyDescent="0.25">
      <c r="A58" s="2"/>
      <c r="B58" s="2" t="s">
        <v>259</v>
      </c>
      <c r="C58" s="202">
        <f>+SUMIF(Info!A:A,B58,Info!I:I)</f>
        <v>201521.5</v>
      </c>
      <c r="D58" s="202">
        <f>+SUMIF(Info!W:W,B58,Info!$U:$U)</f>
        <v>0</v>
      </c>
      <c r="E58" s="243" t="s">
        <v>463</v>
      </c>
      <c r="F58" s="244">
        <v>0</v>
      </c>
      <c r="G58" s="243">
        <v>6.6599990571725595E-2</v>
      </c>
      <c r="H58" s="244">
        <v>13421.33</v>
      </c>
      <c r="I58" s="243">
        <v>0.13319998114345119</v>
      </c>
      <c r="J58" s="244">
        <v>26842.66</v>
      </c>
      <c r="K58" s="243">
        <v>0.19979997171517677</v>
      </c>
      <c r="L58" s="244">
        <v>40263.99</v>
      </c>
      <c r="M58" s="243">
        <v>0.26639996228690238</v>
      </c>
      <c r="N58" s="244">
        <v>53685.32</v>
      </c>
      <c r="O58" s="243">
        <v>0.39959999305285049</v>
      </c>
      <c r="P58" s="244">
        <v>80527.990000000005</v>
      </c>
      <c r="Q58" s="243">
        <v>0.4661999836245761</v>
      </c>
      <c r="R58" s="244">
        <v>93949.32</v>
      </c>
      <c r="S58" s="243">
        <v>0.53279997419630165</v>
      </c>
      <c r="T58" s="244">
        <v>107370.65</v>
      </c>
      <c r="U58" s="243">
        <v>0.59939996476802726</v>
      </c>
      <c r="V58" s="244">
        <v>120791.98</v>
      </c>
      <c r="W58" s="243">
        <v>0.66599995533975287</v>
      </c>
      <c r="X58" s="244">
        <v>134213.31</v>
      </c>
      <c r="Y58" s="243">
        <f t="shared" si="0"/>
        <v>0.73259999553397526</v>
      </c>
      <c r="Z58" s="244">
        <f>SUMIF(Info!$A:$A,Cashflow!$B58,Info!$J:$J)</f>
        <v>147634.65</v>
      </c>
      <c r="AA58" s="156">
        <v>0.79920000000000002</v>
      </c>
      <c r="AB58" s="203">
        <f t="shared" si="1"/>
        <v>161055.9828</v>
      </c>
      <c r="AC58" s="156">
        <v>0.86580000000000001</v>
      </c>
      <c r="AD58" s="203">
        <f t="shared" si="2"/>
        <v>174477.31470000002</v>
      </c>
      <c r="AE58" s="156">
        <v>0.93240000000000001</v>
      </c>
      <c r="AF58" s="203">
        <f t="shared" si="3"/>
        <v>187898.64660000001</v>
      </c>
      <c r="AG58" s="156">
        <v>0.95</v>
      </c>
      <c r="AH58" s="203">
        <f t="shared" si="4"/>
        <v>191445.42499999999</v>
      </c>
      <c r="AI58" s="156">
        <v>1</v>
      </c>
      <c r="AJ58" s="203">
        <f t="shared" si="5"/>
        <v>201521.5</v>
      </c>
      <c r="AK58" s="156"/>
      <c r="AL58" s="203">
        <f t="shared" si="6"/>
        <v>201521.5</v>
      </c>
      <c r="AM58" s="156"/>
      <c r="AN58" s="203">
        <f t="shared" si="7"/>
        <v>201521.5</v>
      </c>
    </row>
    <row r="59" spans="1:40" s="183" customFormat="1" x14ac:dyDescent="0.25">
      <c r="A59" s="4"/>
      <c r="B59" s="4" t="s">
        <v>263</v>
      </c>
      <c r="C59" s="200">
        <f>+SUMIF(Info!A:A,B59,Info!I:I)</f>
        <v>1497650</v>
      </c>
      <c r="D59" s="200">
        <f>+SUMIF(Info!W:W,B59,Info!$U:$U)</f>
        <v>0</v>
      </c>
      <c r="E59" s="245" t="s">
        <v>463</v>
      </c>
      <c r="F59" s="246">
        <v>0</v>
      </c>
      <c r="G59" s="245" t="s">
        <v>463</v>
      </c>
      <c r="H59" s="246">
        <v>0</v>
      </c>
      <c r="I59" s="245" t="s">
        <v>463</v>
      </c>
      <c r="J59" s="246">
        <v>0</v>
      </c>
      <c r="K59" s="245" t="s">
        <v>463</v>
      </c>
      <c r="L59" s="246">
        <v>0</v>
      </c>
      <c r="M59" s="245" t="s">
        <v>463</v>
      </c>
      <c r="N59" s="246">
        <v>0</v>
      </c>
      <c r="O59" s="245" t="s">
        <v>463</v>
      </c>
      <c r="P59" s="246">
        <v>0</v>
      </c>
      <c r="Q59" s="245" t="s">
        <v>463</v>
      </c>
      <c r="R59" s="246">
        <v>0</v>
      </c>
      <c r="S59" s="245" t="s">
        <v>463</v>
      </c>
      <c r="T59" s="246">
        <v>0</v>
      </c>
      <c r="U59" s="245" t="s">
        <v>463</v>
      </c>
      <c r="V59" s="246">
        <v>0</v>
      </c>
      <c r="W59" s="245">
        <v>4.4000000000000003E-3</v>
      </c>
      <c r="X59" s="246">
        <v>6589.66</v>
      </c>
      <c r="Y59" s="245">
        <f t="shared" si="0"/>
        <v>0.15869999666143625</v>
      </c>
      <c r="Z59" s="246">
        <f>SUMIF(Info!$A:$A,Cashflow!$B59,Info!$J:$J)</f>
        <v>237677.05</v>
      </c>
      <c r="AA59" s="155">
        <v>0.43</v>
      </c>
      <c r="AB59" s="201">
        <f t="shared" si="1"/>
        <v>643989.5</v>
      </c>
      <c r="AC59" s="155">
        <v>0.7</v>
      </c>
      <c r="AD59" s="201">
        <f t="shared" si="2"/>
        <v>1048354.9999999999</v>
      </c>
      <c r="AE59" s="155">
        <v>0.82</v>
      </c>
      <c r="AF59" s="201">
        <f t="shared" si="3"/>
        <v>1228073</v>
      </c>
      <c r="AG59" s="155">
        <v>0.9</v>
      </c>
      <c r="AH59" s="201">
        <f t="shared" si="4"/>
        <v>1347885</v>
      </c>
      <c r="AI59" s="155">
        <v>1</v>
      </c>
      <c r="AJ59" s="201">
        <f t="shared" si="5"/>
        <v>1497650</v>
      </c>
      <c r="AK59" s="155"/>
      <c r="AL59" s="201">
        <f t="shared" si="6"/>
        <v>1497650</v>
      </c>
      <c r="AM59" s="155"/>
      <c r="AN59" s="201">
        <f t="shared" si="7"/>
        <v>1497650</v>
      </c>
    </row>
    <row r="60" spans="1:40" s="183" customFormat="1" x14ac:dyDescent="0.25">
      <c r="A60" s="2"/>
      <c r="B60" s="2" t="s">
        <v>266</v>
      </c>
      <c r="C60" s="202">
        <f>+SUMIF(Info!A:A,B60,Info!I:I)</f>
        <v>735256</v>
      </c>
      <c r="D60" s="202">
        <f>+SUMIF(Info!W:W,B60,Info!$U:$U)</f>
        <v>0</v>
      </c>
      <c r="E60" s="243" t="s">
        <v>463</v>
      </c>
      <c r="F60" s="244">
        <v>0</v>
      </c>
      <c r="G60" s="243" t="s">
        <v>463</v>
      </c>
      <c r="H60" s="244">
        <v>0</v>
      </c>
      <c r="I60" s="243" t="s">
        <v>463</v>
      </c>
      <c r="J60" s="244">
        <v>0</v>
      </c>
      <c r="K60" s="243" t="s">
        <v>463</v>
      </c>
      <c r="L60" s="244">
        <v>0</v>
      </c>
      <c r="M60" s="243" t="s">
        <v>463</v>
      </c>
      <c r="N60" s="244">
        <v>0</v>
      </c>
      <c r="O60" s="243" t="s">
        <v>463</v>
      </c>
      <c r="P60" s="244">
        <v>0</v>
      </c>
      <c r="Q60" s="243" t="s">
        <v>463</v>
      </c>
      <c r="R60" s="244">
        <v>0</v>
      </c>
      <c r="S60" s="243" t="s">
        <v>463</v>
      </c>
      <c r="T60" s="244">
        <v>0</v>
      </c>
      <c r="U60" s="243">
        <v>2.5000000000000001E-2</v>
      </c>
      <c r="V60" s="244">
        <v>18381.400000000001</v>
      </c>
      <c r="W60" s="243">
        <v>4.0799993471661571E-2</v>
      </c>
      <c r="X60" s="244">
        <v>29998.44</v>
      </c>
      <c r="Y60" s="243">
        <f t="shared" si="0"/>
        <v>4.7599992383605169E-2</v>
      </c>
      <c r="Z60" s="244">
        <f>SUMIF(Info!$A:$A,Cashflow!$B60,Info!$J:$J)</f>
        <v>34998.18</v>
      </c>
      <c r="AA60" s="156">
        <v>0.18</v>
      </c>
      <c r="AB60" s="203">
        <f t="shared" si="1"/>
        <v>132346.07999999999</v>
      </c>
      <c r="AC60" s="156">
        <v>0.43</v>
      </c>
      <c r="AD60" s="203">
        <f t="shared" si="2"/>
        <v>316160.08</v>
      </c>
      <c r="AE60" s="156">
        <v>0.62</v>
      </c>
      <c r="AF60" s="203">
        <f t="shared" si="3"/>
        <v>455858.72</v>
      </c>
      <c r="AG60" s="156">
        <v>0.85</v>
      </c>
      <c r="AH60" s="203">
        <f t="shared" si="4"/>
        <v>624967.6</v>
      </c>
      <c r="AI60" s="156">
        <v>1</v>
      </c>
      <c r="AJ60" s="203">
        <f t="shared" si="5"/>
        <v>735256</v>
      </c>
      <c r="AK60" s="156"/>
      <c r="AL60" s="203">
        <f t="shared" si="6"/>
        <v>735256</v>
      </c>
      <c r="AM60" s="156"/>
      <c r="AN60" s="203">
        <f t="shared" si="7"/>
        <v>735256</v>
      </c>
    </row>
    <row r="61" spans="1:40" s="183" customFormat="1" x14ac:dyDescent="0.25">
      <c r="A61" s="195"/>
      <c r="B61" s="196" t="s">
        <v>52</v>
      </c>
      <c r="C61" s="197"/>
      <c r="D61" s="198"/>
      <c r="E61" s="241" t="s">
        <v>463</v>
      </c>
      <c r="F61" s="242">
        <v>0</v>
      </c>
      <c r="G61" s="241" t="s">
        <v>463</v>
      </c>
      <c r="H61" s="242">
        <v>0</v>
      </c>
      <c r="I61" s="241" t="s">
        <v>463</v>
      </c>
      <c r="J61" s="242">
        <v>0</v>
      </c>
      <c r="K61" s="241" t="s">
        <v>463</v>
      </c>
      <c r="L61" s="242">
        <v>0</v>
      </c>
      <c r="M61" s="241" t="s">
        <v>463</v>
      </c>
      <c r="N61" s="242">
        <v>0</v>
      </c>
      <c r="O61" s="241" t="s">
        <v>463</v>
      </c>
      <c r="P61" s="242">
        <v>0</v>
      </c>
      <c r="Q61" s="241" t="s">
        <v>463</v>
      </c>
      <c r="R61" s="242">
        <v>0</v>
      </c>
      <c r="S61" s="241" t="s">
        <v>463</v>
      </c>
      <c r="T61" s="242">
        <v>0</v>
      </c>
      <c r="U61" s="241" t="s">
        <v>463</v>
      </c>
      <c r="V61" s="242">
        <v>0</v>
      </c>
      <c r="W61" s="241" t="s">
        <v>463</v>
      </c>
      <c r="X61" s="242">
        <v>0</v>
      </c>
      <c r="Y61" s="241">
        <f t="shared" si="0"/>
        <v>0</v>
      </c>
      <c r="Z61" s="242">
        <f>SUMIF(Info!$A:$A,Cashflow!$B61,Info!$J:$J)</f>
        <v>0</v>
      </c>
      <c r="AA61" s="154"/>
      <c r="AB61" s="199"/>
      <c r="AC61" s="154"/>
      <c r="AD61" s="199"/>
      <c r="AE61" s="154"/>
      <c r="AF61" s="199"/>
      <c r="AG61" s="154"/>
      <c r="AH61" s="199"/>
      <c r="AI61" s="154"/>
      <c r="AJ61" s="199"/>
      <c r="AK61" s="154"/>
      <c r="AL61" s="199"/>
      <c r="AM61" s="154"/>
      <c r="AN61" s="199"/>
    </row>
    <row r="62" spans="1:40" s="183" customFormat="1" x14ac:dyDescent="0.25">
      <c r="A62" s="4"/>
      <c r="B62" s="206" t="s">
        <v>270</v>
      </c>
      <c r="C62" s="200">
        <f>+SUMIF(Info!A:A,B62,Info!I:I)</f>
        <v>35000</v>
      </c>
      <c r="D62" s="202">
        <f>+SUMIF(Info!W:W,B62,Info!$U:$U)</f>
        <v>0</v>
      </c>
      <c r="E62" s="245" t="s">
        <v>463</v>
      </c>
      <c r="F62" s="244">
        <v>0</v>
      </c>
      <c r="G62" s="245" t="s">
        <v>463</v>
      </c>
      <c r="H62" s="244">
        <v>0</v>
      </c>
      <c r="I62" s="245" t="s">
        <v>463</v>
      </c>
      <c r="J62" s="244">
        <v>0</v>
      </c>
      <c r="K62" s="245" t="s">
        <v>463</v>
      </c>
      <c r="L62" s="244">
        <v>0</v>
      </c>
      <c r="M62" s="245" t="s">
        <v>463</v>
      </c>
      <c r="N62" s="244">
        <v>0</v>
      </c>
      <c r="O62" s="245" t="s">
        <v>463</v>
      </c>
      <c r="P62" s="244">
        <v>0</v>
      </c>
      <c r="Q62" s="245" t="s">
        <v>463</v>
      </c>
      <c r="R62" s="244">
        <v>0</v>
      </c>
      <c r="S62" s="245" t="s">
        <v>463</v>
      </c>
      <c r="T62" s="244">
        <v>0</v>
      </c>
      <c r="U62" s="245" t="s">
        <v>463</v>
      </c>
      <c r="V62" s="244">
        <v>0</v>
      </c>
      <c r="W62" s="245" t="s">
        <v>463</v>
      </c>
      <c r="X62" s="244">
        <v>0</v>
      </c>
      <c r="Y62" s="245">
        <f t="shared" si="0"/>
        <v>0</v>
      </c>
      <c r="Z62" s="244">
        <f>SUMIF(Info!$A:$A,Cashflow!$B62,Info!$J:$J)</f>
        <v>0</v>
      </c>
      <c r="AA62" s="155">
        <v>0.75</v>
      </c>
      <c r="AB62" s="203">
        <f t="shared" ref="AB62:AB68" si="15">IF(Z62=$C62,$C62,IF(AA62&gt;0,AA62*$C62,$C62*AA62))</f>
        <v>26250</v>
      </c>
      <c r="AC62" s="155">
        <v>0.75</v>
      </c>
      <c r="AD62" s="201">
        <f t="shared" ref="AD62:AD68" si="16">IF(AB62=$C62,$C62,IF(AC62&gt;0,AC62*$C62,$C62*AC62))</f>
        <v>26250</v>
      </c>
      <c r="AE62" s="155">
        <v>0.9</v>
      </c>
      <c r="AF62" s="203">
        <f t="shared" ref="AF62:AF68" si="17">IF(AD62=$C62,$C62,IF(AE62&gt;0,AE62*$C62,$C62*AE62))</f>
        <v>31500</v>
      </c>
      <c r="AG62" s="155">
        <v>1</v>
      </c>
      <c r="AH62" s="203">
        <f t="shared" ref="AH62:AH68" si="18">IF(AF62=$C62,$C62,IF(AG62&gt;0,AG62*$C62,$C62*AG62))</f>
        <v>35000</v>
      </c>
      <c r="AI62" s="155">
        <v>1</v>
      </c>
      <c r="AJ62" s="201">
        <f t="shared" si="5"/>
        <v>35000</v>
      </c>
      <c r="AK62" s="155">
        <v>1</v>
      </c>
      <c r="AL62" s="201">
        <f t="shared" si="6"/>
        <v>35000</v>
      </c>
      <c r="AM62" s="155"/>
      <c r="AN62" s="201">
        <f t="shared" si="7"/>
        <v>35000</v>
      </c>
    </row>
    <row r="63" spans="1:40" s="183" customFormat="1" x14ac:dyDescent="0.25">
      <c r="A63" s="2"/>
      <c r="B63" s="205" t="s">
        <v>273</v>
      </c>
      <c r="C63" s="202">
        <f>+SUMIF(Info!A:A,B63,Info!I:I)</f>
        <v>30000</v>
      </c>
      <c r="D63" s="200">
        <f>+SUMIF(Info!W:W,B63,Info!$U:$U)</f>
        <v>0</v>
      </c>
      <c r="E63" s="243" t="s">
        <v>463</v>
      </c>
      <c r="F63" s="246">
        <v>0</v>
      </c>
      <c r="G63" s="243" t="s">
        <v>463</v>
      </c>
      <c r="H63" s="246">
        <v>0</v>
      </c>
      <c r="I63" s="243" t="s">
        <v>463</v>
      </c>
      <c r="J63" s="246">
        <v>0</v>
      </c>
      <c r="K63" s="243" t="s">
        <v>463</v>
      </c>
      <c r="L63" s="246">
        <v>0</v>
      </c>
      <c r="M63" s="243" t="s">
        <v>463</v>
      </c>
      <c r="N63" s="246">
        <v>0</v>
      </c>
      <c r="O63" s="243" t="s">
        <v>463</v>
      </c>
      <c r="P63" s="246">
        <v>0</v>
      </c>
      <c r="Q63" s="243" t="s">
        <v>463</v>
      </c>
      <c r="R63" s="246">
        <v>0</v>
      </c>
      <c r="S63" s="243" t="s">
        <v>463</v>
      </c>
      <c r="T63" s="246">
        <v>0</v>
      </c>
      <c r="U63" s="243" t="s">
        <v>463</v>
      </c>
      <c r="V63" s="246">
        <v>0</v>
      </c>
      <c r="W63" s="243" t="s">
        <v>463</v>
      </c>
      <c r="X63" s="246">
        <v>0</v>
      </c>
      <c r="Y63" s="243">
        <f t="shared" si="0"/>
        <v>0</v>
      </c>
      <c r="Z63" s="246">
        <f>SUMIF(Info!$A:$A,Cashflow!$B63,Info!$J:$J)</f>
        <v>0</v>
      </c>
      <c r="AA63" s="156"/>
      <c r="AB63" s="201">
        <f>IF(Z63=$C63,$C63,IF(AA63&gt;0,AA63*$C63,$C63*AA63))</f>
        <v>0</v>
      </c>
      <c r="AC63" s="156"/>
      <c r="AD63" s="203">
        <f t="shared" si="16"/>
        <v>0</v>
      </c>
      <c r="AE63" s="156"/>
      <c r="AF63" s="201">
        <f t="shared" si="17"/>
        <v>0</v>
      </c>
      <c r="AG63" s="156">
        <v>0</v>
      </c>
      <c r="AH63" s="201">
        <f t="shared" si="18"/>
        <v>0</v>
      </c>
      <c r="AI63" s="156">
        <v>0.5</v>
      </c>
      <c r="AJ63" s="203">
        <f t="shared" si="5"/>
        <v>15000</v>
      </c>
      <c r="AK63" s="156">
        <v>1</v>
      </c>
      <c r="AL63" s="203">
        <f t="shared" si="6"/>
        <v>30000</v>
      </c>
      <c r="AM63" s="156"/>
      <c r="AN63" s="203">
        <f t="shared" si="7"/>
        <v>30000</v>
      </c>
    </row>
    <row r="64" spans="1:40" s="183" customFormat="1" x14ac:dyDescent="0.25">
      <c r="A64" s="4"/>
      <c r="B64" s="206" t="s">
        <v>277</v>
      </c>
      <c r="C64" s="200">
        <f>+SUMIF(Info!A:A,B64,Info!I:I)</f>
        <v>30000</v>
      </c>
      <c r="D64" s="202">
        <f>+SUMIF(Info!W:W,B64,Info!$U:$U)</f>
        <v>0</v>
      </c>
      <c r="E64" s="245" t="s">
        <v>463</v>
      </c>
      <c r="F64" s="244">
        <v>0</v>
      </c>
      <c r="G64" s="245" t="s">
        <v>463</v>
      </c>
      <c r="H64" s="244">
        <v>0</v>
      </c>
      <c r="I64" s="245" t="s">
        <v>463</v>
      </c>
      <c r="J64" s="244">
        <v>0</v>
      </c>
      <c r="K64" s="245" t="s">
        <v>463</v>
      </c>
      <c r="L64" s="244">
        <v>0</v>
      </c>
      <c r="M64" s="245" t="s">
        <v>463</v>
      </c>
      <c r="N64" s="244">
        <v>0</v>
      </c>
      <c r="O64" s="245" t="s">
        <v>463</v>
      </c>
      <c r="P64" s="244">
        <v>0</v>
      </c>
      <c r="Q64" s="245" t="s">
        <v>463</v>
      </c>
      <c r="R64" s="244">
        <v>0</v>
      </c>
      <c r="S64" s="245" t="s">
        <v>463</v>
      </c>
      <c r="T64" s="244">
        <v>0</v>
      </c>
      <c r="U64" s="245" t="s">
        <v>463</v>
      </c>
      <c r="V64" s="244">
        <v>0</v>
      </c>
      <c r="W64" s="245" t="s">
        <v>463</v>
      </c>
      <c r="X64" s="244">
        <v>0</v>
      </c>
      <c r="Y64" s="245">
        <f t="shared" si="0"/>
        <v>0</v>
      </c>
      <c r="Z64" s="244">
        <f>SUMIF(Info!$A:$A,Cashflow!$B64,Info!$J:$J)</f>
        <v>0</v>
      </c>
      <c r="AA64" s="155"/>
      <c r="AB64" s="203">
        <f t="shared" si="15"/>
        <v>0</v>
      </c>
      <c r="AC64" s="155"/>
      <c r="AD64" s="201">
        <f t="shared" si="16"/>
        <v>0</v>
      </c>
      <c r="AE64" s="155"/>
      <c r="AF64" s="203">
        <f t="shared" si="17"/>
        <v>0</v>
      </c>
      <c r="AG64" s="155">
        <v>1</v>
      </c>
      <c r="AH64" s="203">
        <f t="shared" si="18"/>
        <v>30000</v>
      </c>
      <c r="AI64" s="155"/>
      <c r="AJ64" s="201">
        <f t="shared" si="5"/>
        <v>30000</v>
      </c>
      <c r="AK64" s="155"/>
      <c r="AL64" s="201">
        <f t="shared" si="6"/>
        <v>30000</v>
      </c>
      <c r="AM64" s="155"/>
      <c r="AN64" s="201">
        <f t="shared" si="7"/>
        <v>30000</v>
      </c>
    </row>
    <row r="65" spans="1:40" s="183" customFormat="1" x14ac:dyDescent="0.25">
      <c r="A65" s="2"/>
      <c r="B65" s="205" t="s">
        <v>281</v>
      </c>
      <c r="C65" s="202">
        <f>+SUMIF(Info!A:A,B65,Info!I:I)</f>
        <v>22000</v>
      </c>
      <c r="D65" s="200">
        <f>+SUMIF(Info!W:W,B65,Info!$U:$U)</f>
        <v>0</v>
      </c>
      <c r="E65" s="243" t="s">
        <v>463</v>
      </c>
      <c r="F65" s="244">
        <v>0</v>
      </c>
      <c r="G65" s="243" t="s">
        <v>463</v>
      </c>
      <c r="H65" s="244">
        <v>0</v>
      </c>
      <c r="I65" s="243" t="s">
        <v>463</v>
      </c>
      <c r="J65" s="244">
        <v>0</v>
      </c>
      <c r="K65" s="243" t="s">
        <v>463</v>
      </c>
      <c r="L65" s="244">
        <v>0</v>
      </c>
      <c r="M65" s="243" t="s">
        <v>463</v>
      </c>
      <c r="N65" s="244">
        <v>0</v>
      </c>
      <c r="O65" s="243" t="s">
        <v>463</v>
      </c>
      <c r="P65" s="244">
        <v>0</v>
      </c>
      <c r="Q65" s="243" t="s">
        <v>463</v>
      </c>
      <c r="R65" s="244">
        <v>0</v>
      </c>
      <c r="S65" s="243" t="s">
        <v>463</v>
      </c>
      <c r="T65" s="244">
        <v>0</v>
      </c>
      <c r="U65" s="243" t="s">
        <v>463</v>
      </c>
      <c r="V65" s="244">
        <v>0</v>
      </c>
      <c r="W65" s="243" t="s">
        <v>463</v>
      </c>
      <c r="X65" s="244">
        <v>0</v>
      </c>
      <c r="Y65" s="243">
        <f t="shared" si="0"/>
        <v>0</v>
      </c>
      <c r="Z65" s="244">
        <f>SUMIF(Info!$A:$A,Cashflow!$B65,Info!$J:$J)</f>
        <v>0</v>
      </c>
      <c r="AA65" s="156"/>
      <c r="AB65" s="203">
        <f t="shared" si="15"/>
        <v>0</v>
      </c>
      <c r="AC65" s="156">
        <v>0.25</v>
      </c>
      <c r="AD65" s="203">
        <f t="shared" si="16"/>
        <v>5500</v>
      </c>
      <c r="AE65" s="156">
        <v>0.5</v>
      </c>
      <c r="AF65" s="203">
        <f t="shared" si="17"/>
        <v>11000</v>
      </c>
      <c r="AG65" s="156">
        <v>1</v>
      </c>
      <c r="AH65" s="203">
        <f t="shared" si="18"/>
        <v>22000</v>
      </c>
      <c r="AI65" s="156"/>
      <c r="AJ65" s="201">
        <f t="shared" si="5"/>
        <v>22000</v>
      </c>
      <c r="AK65" s="156"/>
      <c r="AL65" s="203">
        <f t="shared" si="6"/>
        <v>22000</v>
      </c>
      <c r="AM65" s="156"/>
      <c r="AN65" s="203">
        <f t="shared" si="7"/>
        <v>22000</v>
      </c>
    </row>
    <row r="66" spans="1:40" s="183" customFormat="1" x14ac:dyDescent="0.25">
      <c r="A66" s="4"/>
      <c r="B66" s="206" t="s">
        <v>284</v>
      </c>
      <c r="C66" s="200">
        <f>+SUMIF(Info!A:A,B66,Info!I:I)</f>
        <v>600000</v>
      </c>
      <c r="D66" s="202">
        <f>+SUMIF(Info!W:W,B66,Info!$U:$U)</f>
        <v>0</v>
      </c>
      <c r="E66" s="245" t="s">
        <v>463</v>
      </c>
      <c r="F66" s="246">
        <v>0</v>
      </c>
      <c r="G66" s="245" t="s">
        <v>463</v>
      </c>
      <c r="H66" s="246">
        <v>0</v>
      </c>
      <c r="I66" s="245" t="s">
        <v>463</v>
      </c>
      <c r="J66" s="246">
        <v>0</v>
      </c>
      <c r="K66" s="245" t="s">
        <v>463</v>
      </c>
      <c r="L66" s="246">
        <v>0</v>
      </c>
      <c r="M66" s="245" t="s">
        <v>463</v>
      </c>
      <c r="N66" s="246">
        <v>0</v>
      </c>
      <c r="O66" s="245" t="s">
        <v>463</v>
      </c>
      <c r="P66" s="246">
        <v>0</v>
      </c>
      <c r="Q66" s="245" t="s">
        <v>463</v>
      </c>
      <c r="R66" s="246">
        <v>0</v>
      </c>
      <c r="S66" s="245" t="s">
        <v>463</v>
      </c>
      <c r="T66" s="246">
        <v>0</v>
      </c>
      <c r="U66" s="245">
        <v>0.14660000000000001</v>
      </c>
      <c r="V66" s="246">
        <v>87960</v>
      </c>
      <c r="W66" s="245">
        <v>0.2666</v>
      </c>
      <c r="X66" s="246">
        <v>159960</v>
      </c>
      <c r="Y66" s="245">
        <f t="shared" si="0"/>
        <v>0.2999</v>
      </c>
      <c r="Z66" s="246">
        <f>SUMIF(Info!$A:$A,Cashflow!$B66,Info!$J:$J)</f>
        <v>179940</v>
      </c>
      <c r="AA66" s="155">
        <v>0.4</v>
      </c>
      <c r="AB66" s="201">
        <f t="shared" si="15"/>
        <v>240000</v>
      </c>
      <c r="AC66" s="155">
        <v>0.6</v>
      </c>
      <c r="AD66" s="201">
        <f t="shared" si="16"/>
        <v>360000</v>
      </c>
      <c r="AE66" s="155">
        <v>0.8</v>
      </c>
      <c r="AF66" s="201">
        <f t="shared" si="17"/>
        <v>480000</v>
      </c>
      <c r="AG66" s="155">
        <v>1</v>
      </c>
      <c r="AH66" s="201">
        <f t="shared" si="18"/>
        <v>600000</v>
      </c>
      <c r="AI66" s="155"/>
      <c r="AJ66" s="201">
        <f t="shared" si="5"/>
        <v>600000</v>
      </c>
      <c r="AK66" s="155"/>
      <c r="AL66" s="201">
        <f t="shared" si="6"/>
        <v>600000</v>
      </c>
      <c r="AM66" s="155"/>
      <c r="AN66" s="201">
        <f t="shared" si="7"/>
        <v>600000</v>
      </c>
    </row>
    <row r="67" spans="1:40" s="183" customFormat="1" x14ac:dyDescent="0.25">
      <c r="A67" s="2"/>
      <c r="B67" s="205" t="s">
        <v>287</v>
      </c>
      <c r="C67" s="202">
        <f>+SUMIF(Info!A:A,B67,Info!I:I)</f>
        <v>50000</v>
      </c>
      <c r="D67" s="200">
        <f>+SUMIF(Info!W:W,B67,Info!$U:$U)</f>
        <v>0</v>
      </c>
      <c r="E67" s="243" t="s">
        <v>463</v>
      </c>
      <c r="F67" s="244">
        <v>0</v>
      </c>
      <c r="G67" s="243" t="s">
        <v>463</v>
      </c>
      <c r="H67" s="244">
        <v>0</v>
      </c>
      <c r="I67" s="243">
        <v>1</v>
      </c>
      <c r="J67" s="244">
        <v>50000</v>
      </c>
      <c r="K67" s="243">
        <v>1</v>
      </c>
      <c r="L67" s="244">
        <v>50000</v>
      </c>
      <c r="M67" s="243">
        <v>1</v>
      </c>
      <c r="N67" s="244">
        <v>50000</v>
      </c>
      <c r="O67" s="243">
        <v>1</v>
      </c>
      <c r="P67" s="244">
        <v>50000</v>
      </c>
      <c r="Q67" s="243">
        <v>1</v>
      </c>
      <c r="R67" s="244">
        <v>50000</v>
      </c>
      <c r="S67" s="243">
        <v>1</v>
      </c>
      <c r="T67" s="244">
        <v>50000</v>
      </c>
      <c r="U67" s="243">
        <v>1</v>
      </c>
      <c r="V67" s="244">
        <v>50000</v>
      </c>
      <c r="W67" s="243">
        <v>1</v>
      </c>
      <c r="X67" s="244">
        <v>50000</v>
      </c>
      <c r="Y67" s="243">
        <f t="shared" si="0"/>
        <v>1</v>
      </c>
      <c r="Z67" s="244">
        <f>SUMIF(Info!$A:$A,Cashflow!$B67,Info!$J:$J)</f>
        <v>50000</v>
      </c>
      <c r="AA67" s="156"/>
      <c r="AB67" s="203">
        <f t="shared" si="15"/>
        <v>50000</v>
      </c>
      <c r="AC67" s="156"/>
      <c r="AD67" s="203">
        <f t="shared" si="16"/>
        <v>50000</v>
      </c>
      <c r="AE67" s="156">
        <v>0.5</v>
      </c>
      <c r="AF67" s="203">
        <f t="shared" si="17"/>
        <v>50000</v>
      </c>
      <c r="AG67" s="156">
        <v>1</v>
      </c>
      <c r="AH67" s="203">
        <f t="shared" si="18"/>
        <v>50000</v>
      </c>
      <c r="AI67" s="156"/>
      <c r="AJ67" s="201">
        <f t="shared" si="5"/>
        <v>50000</v>
      </c>
      <c r="AK67" s="156"/>
      <c r="AL67" s="203">
        <f t="shared" si="6"/>
        <v>50000</v>
      </c>
      <c r="AM67" s="156"/>
      <c r="AN67" s="203">
        <f t="shared" si="7"/>
        <v>50000</v>
      </c>
    </row>
    <row r="68" spans="1:40" s="183" customFormat="1" x14ac:dyDescent="0.25">
      <c r="A68" s="4"/>
      <c r="B68" s="206" t="s">
        <v>291</v>
      </c>
      <c r="C68" s="200">
        <f>+SUMIF(Info!A:A,B68,Info!I:I)</f>
        <v>100000</v>
      </c>
      <c r="D68" s="202">
        <f>+SUMIF(Info!W:W,B68,Info!$U:$U)</f>
        <v>0</v>
      </c>
      <c r="E68" s="245" t="s">
        <v>463</v>
      </c>
      <c r="F68" s="244">
        <v>0</v>
      </c>
      <c r="G68" s="245" t="s">
        <v>463</v>
      </c>
      <c r="H68" s="244">
        <v>0</v>
      </c>
      <c r="I68" s="245" t="s">
        <v>463</v>
      </c>
      <c r="J68" s="244">
        <v>0</v>
      </c>
      <c r="K68" s="245" t="s">
        <v>463</v>
      </c>
      <c r="L68" s="244">
        <v>0</v>
      </c>
      <c r="M68" s="245" t="s">
        <v>463</v>
      </c>
      <c r="N68" s="244">
        <v>0</v>
      </c>
      <c r="O68" s="245" t="s">
        <v>463</v>
      </c>
      <c r="P68" s="244">
        <v>0</v>
      </c>
      <c r="Q68" s="245" t="s">
        <v>463</v>
      </c>
      <c r="R68" s="244">
        <v>0</v>
      </c>
      <c r="S68" s="245" t="s">
        <v>463</v>
      </c>
      <c r="T68" s="244">
        <v>0</v>
      </c>
      <c r="U68" s="245" t="s">
        <v>463</v>
      </c>
      <c r="V68" s="244">
        <v>0</v>
      </c>
      <c r="W68" s="245" t="s">
        <v>463</v>
      </c>
      <c r="X68" s="244">
        <v>0</v>
      </c>
      <c r="Y68" s="245">
        <f t="shared" si="0"/>
        <v>0</v>
      </c>
      <c r="Z68" s="244">
        <f>SUMIF(Info!$A:$A,Cashflow!$B68,Info!$J:$J)</f>
        <v>0</v>
      </c>
      <c r="AA68" s="155"/>
      <c r="AB68" s="203">
        <f t="shared" si="15"/>
        <v>0</v>
      </c>
      <c r="AC68" s="155"/>
      <c r="AD68" s="201">
        <f t="shared" si="16"/>
        <v>0</v>
      </c>
      <c r="AE68" s="155">
        <v>0.5</v>
      </c>
      <c r="AF68" s="203">
        <f t="shared" si="17"/>
        <v>50000</v>
      </c>
      <c r="AG68" s="155">
        <v>1</v>
      </c>
      <c r="AH68" s="203">
        <f t="shared" si="18"/>
        <v>100000</v>
      </c>
      <c r="AI68" s="155"/>
      <c r="AJ68" s="201">
        <f t="shared" si="5"/>
        <v>100000</v>
      </c>
      <c r="AK68" s="155"/>
      <c r="AL68" s="201">
        <f t="shared" si="6"/>
        <v>100000</v>
      </c>
      <c r="AM68" s="155"/>
      <c r="AN68" s="201">
        <f t="shared" si="7"/>
        <v>100000</v>
      </c>
    </row>
    <row r="69" spans="1:40" s="183" customFormat="1" x14ac:dyDescent="0.25">
      <c r="A69" s="195"/>
      <c r="B69" s="196" t="s">
        <v>462</v>
      </c>
      <c r="C69" s="197"/>
      <c r="D69" s="198"/>
      <c r="E69" s="241"/>
      <c r="F69" s="242"/>
      <c r="G69" s="241" t="s">
        <v>463</v>
      </c>
      <c r="H69" s="242">
        <v>0</v>
      </c>
      <c r="I69" s="241" t="s">
        <v>463</v>
      </c>
      <c r="J69" s="242">
        <v>0</v>
      </c>
      <c r="K69" s="241" t="s">
        <v>463</v>
      </c>
      <c r="L69" s="242">
        <v>0</v>
      </c>
      <c r="M69" s="241" t="s">
        <v>463</v>
      </c>
      <c r="N69" s="242">
        <v>0</v>
      </c>
      <c r="O69" s="241" t="s">
        <v>463</v>
      </c>
      <c r="P69" s="242">
        <v>0</v>
      </c>
      <c r="Q69" s="241" t="s">
        <v>463</v>
      </c>
      <c r="R69" s="242">
        <v>0</v>
      </c>
      <c r="S69" s="241" t="s">
        <v>463</v>
      </c>
      <c r="T69" s="242">
        <v>0</v>
      </c>
      <c r="U69" s="241" t="s">
        <v>463</v>
      </c>
      <c r="V69" s="242">
        <v>0</v>
      </c>
      <c r="W69" s="241" t="s">
        <v>463</v>
      </c>
      <c r="X69" s="242">
        <v>0</v>
      </c>
      <c r="Y69" s="241">
        <f t="shared" si="0"/>
        <v>0</v>
      </c>
      <c r="Z69" s="242">
        <f>SUMIF(Info!$A:$A,Cashflow!$B69,Info!$J:$J)</f>
        <v>0</v>
      </c>
      <c r="AA69" s="154"/>
      <c r="AB69" s="199"/>
      <c r="AC69" s="154"/>
      <c r="AD69" s="199"/>
      <c r="AE69" s="154"/>
      <c r="AF69" s="199"/>
      <c r="AG69" s="154"/>
      <c r="AH69" s="199"/>
      <c r="AI69" s="154"/>
      <c r="AJ69" s="199"/>
      <c r="AK69" s="154"/>
      <c r="AL69" s="199"/>
      <c r="AM69" s="154"/>
      <c r="AN69" s="199"/>
    </row>
    <row r="70" spans="1:40" s="183" customFormat="1" x14ac:dyDescent="0.25">
      <c r="A70" s="2"/>
      <c r="B70" s="205" t="s">
        <v>292</v>
      </c>
      <c r="C70" s="202">
        <f>+SUMIF(Info!A:A,B70,Info!I:I)</f>
        <v>3108400</v>
      </c>
      <c r="D70" s="202">
        <f>+SUMIF(Info!W:W,B70,Info!$U:$U)</f>
        <v>0</v>
      </c>
      <c r="E70" s="243">
        <v>4.5921631707630936E-3</v>
      </c>
      <c r="F70" s="246">
        <v>14274.28</v>
      </c>
      <c r="G70" s="259">
        <v>2.3499999999999997E-2</v>
      </c>
      <c r="H70" s="246">
        <v>73047.399999999994</v>
      </c>
      <c r="I70" s="259">
        <v>7.4399999999999994E-2</v>
      </c>
      <c r="J70" s="246">
        <v>231264.96</v>
      </c>
      <c r="K70" s="259">
        <v>0.1132</v>
      </c>
      <c r="L70" s="246">
        <v>351870.88</v>
      </c>
      <c r="M70" s="259">
        <v>0.1704</v>
      </c>
      <c r="N70" s="246">
        <v>529671.36</v>
      </c>
      <c r="O70" s="259">
        <v>0.2157</v>
      </c>
      <c r="P70" s="246">
        <v>670481.88</v>
      </c>
      <c r="Q70" s="259">
        <v>0.24970000000000001</v>
      </c>
      <c r="R70" s="246">
        <v>776167.48</v>
      </c>
      <c r="S70" s="259">
        <v>0.31290000000000001</v>
      </c>
      <c r="T70" s="246">
        <v>972618.36</v>
      </c>
      <c r="U70" s="259">
        <v>0.39790000000000003</v>
      </c>
      <c r="V70" s="246">
        <v>1236832.3600000001</v>
      </c>
      <c r="W70" s="259">
        <v>0.48650000000000004</v>
      </c>
      <c r="X70" s="246">
        <v>1512236.6</v>
      </c>
      <c r="Y70" s="259">
        <f t="shared" si="0"/>
        <v>0.58430000000000004</v>
      </c>
      <c r="Z70" s="246">
        <f>SUMIF(Info!$A:$A,Cashflow!$B70,Info!$J:$J)</f>
        <v>1816238.12</v>
      </c>
      <c r="AA70" s="156">
        <f>'Margin Calculation'!U4</f>
        <v>0.67176017399792598</v>
      </c>
      <c r="AB70" s="201">
        <f t="shared" si="1"/>
        <v>2088099.3248551532</v>
      </c>
      <c r="AC70" s="156">
        <f>'Margin Calculation'!W4</f>
        <v>0.76438176485520848</v>
      </c>
      <c r="AD70" s="203">
        <f t="shared" si="2"/>
        <v>2376004.2778759301</v>
      </c>
      <c r="AE70" s="156">
        <f>'Margin Calculation'!Y4</f>
        <v>0.84864052409775403</v>
      </c>
      <c r="AF70" s="201">
        <f t="shared" si="3"/>
        <v>2637914.2051054589</v>
      </c>
      <c r="AG70" s="156">
        <f>'Margin Calculation'!AA4</f>
        <v>0.9225264503633076</v>
      </c>
      <c r="AH70" s="201">
        <f t="shared" si="4"/>
        <v>2867581.2183093051</v>
      </c>
      <c r="AI70" s="156">
        <v>1</v>
      </c>
      <c r="AJ70" s="203">
        <f>IF(AH70=$C70,$C70,IF(AI70&gt;0,AI70*$C70,$C70*AI70))</f>
        <v>3108400</v>
      </c>
      <c r="AK70" s="156"/>
      <c r="AL70" s="203">
        <f>IF(AJ70=$C70,$C70,IF(AK70&gt;0,AK70*$C70,$C70*AK70))</f>
        <v>3108400</v>
      </c>
      <c r="AM70" s="156"/>
      <c r="AN70" s="203">
        <f>IF(AL70=$C70,$C70,IF(AM70&gt;0,AM70*$C70,$C70*AM70))</f>
        <v>3108400</v>
      </c>
    </row>
    <row r="71" spans="1:40" s="183" customFormat="1" x14ac:dyDescent="0.25">
      <c r="A71" s="195"/>
      <c r="B71" s="196"/>
      <c r="C71" s="197"/>
      <c r="D71" s="198"/>
      <c r="E71" s="241"/>
      <c r="F71" s="242"/>
      <c r="G71" s="241"/>
      <c r="H71" s="242"/>
      <c r="I71" s="241" t="s">
        <v>463</v>
      </c>
      <c r="J71" s="242">
        <v>0</v>
      </c>
      <c r="K71" s="241" t="s">
        <v>463</v>
      </c>
      <c r="L71" s="242">
        <v>0</v>
      </c>
      <c r="M71" s="241" t="s">
        <v>463</v>
      </c>
      <c r="N71" s="242">
        <v>0</v>
      </c>
      <c r="O71" s="241" t="s">
        <v>463</v>
      </c>
      <c r="P71" s="242">
        <v>0</v>
      </c>
      <c r="Q71" s="241" t="s">
        <v>463</v>
      </c>
      <c r="R71" s="242">
        <v>0</v>
      </c>
      <c r="S71" s="241" t="s">
        <v>463</v>
      </c>
      <c r="T71" s="242">
        <v>0</v>
      </c>
      <c r="U71" s="241" t="s">
        <v>463</v>
      </c>
      <c r="V71" s="242">
        <v>0</v>
      </c>
      <c r="W71" s="241" t="s">
        <v>463</v>
      </c>
      <c r="X71" s="242">
        <v>0</v>
      </c>
      <c r="Y71" s="241">
        <f t="shared" si="0"/>
        <v>0</v>
      </c>
      <c r="Z71" s="242">
        <f>SUMIF(Info!$A:$A,Cashflow!$B71,Info!$J:$J)</f>
        <v>0</v>
      </c>
      <c r="AA71" s="154"/>
      <c r="AB71" s="199"/>
      <c r="AC71" s="154"/>
      <c r="AD71" s="199"/>
      <c r="AE71" s="154"/>
      <c r="AF71" s="199"/>
      <c r="AG71" s="154"/>
      <c r="AH71" s="199"/>
      <c r="AI71" s="154"/>
      <c r="AJ71" s="199"/>
      <c r="AK71" s="154"/>
      <c r="AL71" s="199"/>
      <c r="AM71" s="154"/>
      <c r="AN71" s="199"/>
    </row>
    <row r="72" spans="1:40" s="183" customFormat="1" x14ac:dyDescent="0.25">
      <c r="A72" s="2"/>
      <c r="B72" s="2" t="s">
        <v>297</v>
      </c>
      <c r="C72" s="202">
        <v>410185.47</v>
      </c>
      <c r="D72" s="202">
        <f>+SUMIF(Info!W:W,B72,Info!$U:$U)</f>
        <v>0</v>
      </c>
      <c r="E72" s="243"/>
      <c r="F72" s="244">
        <v>0</v>
      </c>
      <c r="G72" s="243" t="s">
        <v>463</v>
      </c>
      <c r="H72" s="244">
        <v>0</v>
      </c>
      <c r="I72" s="243">
        <v>1</v>
      </c>
      <c r="J72" s="244">
        <v>15769</v>
      </c>
      <c r="K72" s="243">
        <v>0.7049488130895436</v>
      </c>
      <c r="L72" s="244">
        <v>15769</v>
      </c>
      <c r="M72" s="243">
        <v>0.52985450757703034</v>
      </c>
      <c r="N72" s="244">
        <v>23160.65</v>
      </c>
      <c r="O72" s="243">
        <v>0.66943123705698626</v>
      </c>
      <c r="P72" s="244">
        <v>140692</v>
      </c>
      <c r="Q72" s="243">
        <v>0.7480450616123494</v>
      </c>
      <c r="R72" s="244">
        <v>157213.99</v>
      </c>
      <c r="S72" s="243">
        <v>0.71898388474419994</v>
      </c>
      <c r="T72" s="244">
        <v>174085.03</v>
      </c>
      <c r="U72" s="243">
        <v>0.58281478518079544</v>
      </c>
      <c r="V72" s="244">
        <v>192125.57</v>
      </c>
      <c r="W72" s="243">
        <v>0.66723902928174139</v>
      </c>
      <c r="X72" s="244">
        <v>219956.12</v>
      </c>
      <c r="Y72" s="243">
        <f t="shared" si="0"/>
        <v>0.60783752286496162</v>
      </c>
      <c r="Z72" s="244">
        <f>SUMIF(Info!$A:$A,Cashflow!$B72,Info!$J:$J)</f>
        <v>249326.12</v>
      </c>
      <c r="AA72" s="156">
        <v>0.75</v>
      </c>
      <c r="AB72" s="203">
        <f>C72*AA72</f>
        <v>307639.10249999998</v>
      </c>
      <c r="AC72" s="156">
        <v>0.8</v>
      </c>
      <c r="AD72" s="203">
        <f>C72*AC72</f>
        <v>328148.37599999999</v>
      </c>
      <c r="AE72" s="156">
        <v>0.9</v>
      </c>
      <c r="AF72" s="203">
        <f>C72*AE72</f>
        <v>369166.92300000001</v>
      </c>
      <c r="AG72" s="156">
        <v>0.95</v>
      </c>
      <c r="AH72" s="203">
        <f>C72*AG72</f>
        <v>389676.19649999996</v>
      </c>
      <c r="AI72" s="156">
        <v>1</v>
      </c>
      <c r="AJ72" s="203">
        <f>AI72*C72</f>
        <v>410185.47</v>
      </c>
      <c r="AK72" s="156"/>
      <c r="AL72" s="203">
        <f>C72</f>
        <v>410185.47</v>
      </c>
      <c r="AM72" s="156"/>
      <c r="AN72" s="203">
        <f>C72</f>
        <v>410185.47</v>
      </c>
    </row>
    <row r="73" spans="1:40" s="183" customFormat="1" x14ac:dyDescent="0.25">
      <c r="A73" s="4"/>
      <c r="B73" s="4"/>
      <c r="C73" s="200">
        <f>+SUMIF(Info!A:A,B73,Info!I:I)</f>
        <v>0</v>
      </c>
      <c r="D73" s="200">
        <f>+SUMIF(Info!W:W,B73,Info!$U:$U)</f>
        <v>0</v>
      </c>
      <c r="E73" s="245"/>
      <c r="F73" s="246">
        <v>0</v>
      </c>
      <c r="G73" s="245" t="s">
        <v>463</v>
      </c>
      <c r="H73" s="246">
        <v>0</v>
      </c>
      <c r="I73" s="245" t="s">
        <v>463</v>
      </c>
      <c r="J73" s="246">
        <v>0</v>
      </c>
      <c r="K73" s="245" t="s">
        <v>463</v>
      </c>
      <c r="L73" s="246">
        <v>0</v>
      </c>
      <c r="M73" s="245" t="s">
        <v>463</v>
      </c>
      <c r="N73" s="246">
        <v>0</v>
      </c>
      <c r="O73" s="245" t="s">
        <v>463</v>
      </c>
      <c r="P73" s="246">
        <v>0</v>
      </c>
      <c r="Q73" s="245" t="s">
        <v>463</v>
      </c>
      <c r="R73" s="246">
        <v>0</v>
      </c>
      <c r="S73" s="245" t="s">
        <v>463</v>
      </c>
      <c r="T73" s="246">
        <v>0</v>
      </c>
      <c r="U73" s="245" t="s">
        <v>463</v>
      </c>
      <c r="V73" s="246">
        <v>0</v>
      </c>
      <c r="W73" s="245" t="s">
        <v>463</v>
      </c>
      <c r="X73" s="246">
        <v>0</v>
      </c>
      <c r="Y73" s="245">
        <f t="shared" si="0"/>
        <v>0</v>
      </c>
      <c r="Z73" s="246">
        <f>SUMIF(Info!$A:$A,Cashflow!$B73,Info!$J:$J)</f>
        <v>0</v>
      </c>
      <c r="AA73" s="155"/>
      <c r="AB73" s="201">
        <f>IF(Z73=$C73,$C73,IF(AA73&gt;0,AA73*$C73,$C73*AA73))</f>
        <v>0</v>
      </c>
      <c r="AC73" s="155"/>
      <c r="AD73" s="201">
        <f>IF(AB73=$C73,$C73,IF(AC73&gt;0,AC73*$C73,$C73*AC73))</f>
        <v>0</v>
      </c>
      <c r="AE73" s="155"/>
      <c r="AF73" s="201">
        <f>IF(AD73=$C73,$C73,IF(AE73&gt;0,AE73*$C73,$C73*AE73))</f>
        <v>0</v>
      </c>
      <c r="AG73" s="155"/>
      <c r="AH73" s="201">
        <f>IF(AF73=$C73,$C73,IF(AG73&gt;0,AG73*$C73,$C73*AG73))</f>
        <v>0</v>
      </c>
      <c r="AI73" s="155"/>
      <c r="AJ73" s="201">
        <f>IF(AH73=$C73,$C73,IF(AI73&gt;0,AI73*$C73,$C73*AI73))</f>
        <v>0</v>
      </c>
      <c r="AK73" s="155"/>
      <c r="AL73" s="201">
        <f>IF(AJ73=$C73,$C73,IF(AK73&gt;0,AK73*$C73,$C73*AK73))</f>
        <v>0</v>
      </c>
      <c r="AM73" s="155"/>
      <c r="AN73" s="201">
        <f>IF(AL73=$C73,$C73,IF(AM73&gt;0,AM73*$C73,$C73*AM73))</f>
        <v>0</v>
      </c>
    </row>
    <row r="74" spans="1:40" s="183" customFormat="1" x14ac:dyDescent="0.25">
      <c r="A74" s="195"/>
      <c r="B74" s="196"/>
      <c r="C74" s="197"/>
      <c r="D74" s="198"/>
      <c r="E74" s="241"/>
      <c r="F74" s="242"/>
      <c r="G74" s="241" t="s">
        <v>463</v>
      </c>
      <c r="H74" s="242">
        <v>0</v>
      </c>
      <c r="I74" s="241" t="s">
        <v>463</v>
      </c>
      <c r="J74" s="242">
        <v>0</v>
      </c>
      <c r="K74" s="241"/>
      <c r="L74" s="242"/>
      <c r="M74" s="241" t="s">
        <v>463</v>
      </c>
      <c r="N74" s="242">
        <v>0</v>
      </c>
      <c r="O74" s="241" t="s">
        <v>463</v>
      </c>
      <c r="P74" s="242">
        <v>0</v>
      </c>
      <c r="Q74" s="241" t="s">
        <v>463</v>
      </c>
      <c r="R74" s="242">
        <v>0</v>
      </c>
      <c r="S74" s="241" t="s">
        <v>463</v>
      </c>
      <c r="T74" s="242">
        <v>0</v>
      </c>
      <c r="U74" s="241" t="s">
        <v>463</v>
      </c>
      <c r="V74" s="242">
        <v>0</v>
      </c>
      <c r="W74" s="241" t="s">
        <v>463</v>
      </c>
      <c r="X74" s="242">
        <v>0</v>
      </c>
      <c r="Y74" s="241">
        <f t="shared" si="0"/>
        <v>0</v>
      </c>
      <c r="Z74" s="242">
        <f>SUMIF(Info!$A:$A,Cashflow!$B74,Info!$J:$J)</f>
        <v>0</v>
      </c>
      <c r="AA74" s="154"/>
      <c r="AB74" s="199"/>
      <c r="AC74" s="154"/>
      <c r="AD74" s="199"/>
      <c r="AE74" s="154"/>
      <c r="AF74" s="199"/>
      <c r="AG74" s="154"/>
      <c r="AH74" s="199"/>
      <c r="AI74" s="154"/>
      <c r="AJ74" s="199"/>
      <c r="AK74" s="154"/>
      <c r="AL74" s="199"/>
      <c r="AM74" s="154"/>
      <c r="AN74" s="199"/>
    </row>
    <row r="75" spans="1:40" s="183" customFormat="1" x14ac:dyDescent="0.25">
      <c r="A75" s="207">
        <f>ROW()</f>
        <v>75</v>
      </c>
      <c r="B75" s="208"/>
      <c r="C75" s="209"/>
      <c r="D75" s="210"/>
      <c r="E75" s="157"/>
      <c r="F75" s="211"/>
      <c r="G75" s="157"/>
      <c r="H75" s="211"/>
      <c r="I75" s="157"/>
      <c r="J75" s="211"/>
      <c r="K75" s="157"/>
      <c r="L75" s="211"/>
      <c r="M75" s="157"/>
      <c r="N75" s="211"/>
      <c r="O75" s="157"/>
      <c r="P75" s="211"/>
      <c r="Q75" s="157"/>
      <c r="R75" s="211"/>
      <c r="S75" s="157"/>
      <c r="T75" s="211"/>
      <c r="U75" s="157"/>
      <c r="V75" s="211"/>
      <c r="W75" s="157"/>
      <c r="X75" s="211"/>
      <c r="Y75" s="157"/>
      <c r="Z75" s="211"/>
      <c r="AA75" s="157"/>
      <c r="AB75" s="211"/>
      <c r="AC75" s="157"/>
      <c r="AD75" s="211"/>
      <c r="AE75" s="157"/>
      <c r="AF75" s="211"/>
      <c r="AG75" s="157"/>
      <c r="AH75" s="211"/>
      <c r="AI75" s="157"/>
      <c r="AJ75" s="211"/>
      <c r="AK75" s="157"/>
      <c r="AL75" s="211"/>
      <c r="AM75" s="157"/>
      <c r="AN75" s="211"/>
    </row>
    <row r="76" spans="1:40" s="217" customFormat="1" x14ac:dyDescent="0.25">
      <c r="A76" s="212">
        <f>ROW()</f>
        <v>76</v>
      </c>
      <c r="B76" s="213" t="s">
        <v>16</v>
      </c>
      <c r="C76" s="214">
        <f>+C78-Info!A1</f>
        <v>0</v>
      </c>
      <c r="D76" s="215" t="e">
        <f>+#REF!-Info!W5</f>
        <v>#REF!</v>
      </c>
      <c r="E76" s="158"/>
      <c r="F76" s="216">
        <v>0</v>
      </c>
      <c r="G76" s="158"/>
      <c r="H76" s="216">
        <v>0</v>
      </c>
      <c r="I76" s="158"/>
      <c r="J76" s="216">
        <v>0</v>
      </c>
      <c r="K76" s="158"/>
      <c r="L76" s="216">
        <v>-41362.279999999795</v>
      </c>
      <c r="M76" s="158"/>
      <c r="N76" s="216">
        <v>0</v>
      </c>
      <c r="O76" s="158"/>
      <c r="P76" s="216">
        <v>140692</v>
      </c>
      <c r="Q76" s="158"/>
      <c r="R76" s="216">
        <v>0</v>
      </c>
      <c r="S76" s="158"/>
      <c r="T76" s="216">
        <v>0</v>
      </c>
      <c r="U76" s="158"/>
      <c r="V76" s="216">
        <f>+IF(U10="actual",V78-Info!$A$2,0)</f>
        <v>-6472320.4099999983</v>
      </c>
      <c r="W76" s="158"/>
      <c r="X76" s="216">
        <v>137997.24000000209</v>
      </c>
      <c r="Y76" s="158"/>
      <c r="Z76" s="216">
        <f>+IF(Y10="actual",Z78-Info!$A$2,0)</f>
        <v>0</v>
      </c>
      <c r="AA76" s="158"/>
      <c r="AB76" s="216">
        <f>+IF(AA10="actual",AB78-Info!$A$2,0)</f>
        <v>0</v>
      </c>
      <c r="AC76" s="158"/>
      <c r="AD76" s="216">
        <f>+IF(AC10="actual",AD78-Info!$A$2,0)</f>
        <v>0</v>
      </c>
      <c r="AE76" s="158"/>
      <c r="AF76" s="216">
        <f>+IF(AE10="actual",AF78-Info!$A$2,0)</f>
        <v>0</v>
      </c>
      <c r="AG76" s="158"/>
      <c r="AH76" s="216">
        <f>+IF(AG10="actual",AH78-Info!$A$2,0)</f>
        <v>0</v>
      </c>
      <c r="AI76" s="158"/>
      <c r="AJ76" s="216">
        <f>+IF(AI10="actual",AJ78-Info!$A$2,0)</f>
        <v>0</v>
      </c>
      <c r="AK76" s="158"/>
      <c r="AL76" s="216">
        <f>+IF(AK10="actual",AL78-Info!$A$2,0)</f>
        <v>0</v>
      </c>
      <c r="AM76" s="158"/>
      <c r="AN76" s="216">
        <f>+IF(AM10="actual",AN78-Info!$A$2,0)</f>
        <v>0</v>
      </c>
    </row>
    <row r="77" spans="1:40" s="183" customFormat="1" ht="15.75" thickBot="1" x14ac:dyDescent="0.3">
      <c r="A77" s="218"/>
      <c r="B77" s="219"/>
      <c r="C77" s="220"/>
      <c r="D77" s="220"/>
      <c r="E77" s="159"/>
      <c r="F77" s="221"/>
      <c r="G77" s="159"/>
      <c r="H77" s="221"/>
      <c r="I77" s="159"/>
      <c r="J77" s="221"/>
      <c r="K77" s="159"/>
      <c r="L77" s="221"/>
      <c r="M77" s="159"/>
      <c r="N77" s="221"/>
      <c r="O77" s="159"/>
      <c r="P77" s="221"/>
      <c r="Q77" s="159"/>
      <c r="R77" s="221"/>
      <c r="S77" s="159"/>
      <c r="T77" s="221"/>
      <c r="U77" s="159"/>
      <c r="V77" s="221"/>
      <c r="W77" s="159"/>
      <c r="X77" s="221"/>
      <c r="Y77" s="159"/>
      <c r="Z77" s="221"/>
      <c r="AA77" s="159"/>
      <c r="AB77" s="221"/>
      <c r="AC77" s="159"/>
      <c r="AD77" s="221"/>
      <c r="AE77" s="159"/>
      <c r="AF77" s="221"/>
      <c r="AG77" s="159"/>
      <c r="AH77" s="221"/>
      <c r="AI77" s="159"/>
      <c r="AJ77" s="221"/>
      <c r="AK77" s="159"/>
      <c r="AL77" s="221"/>
      <c r="AM77" s="159"/>
      <c r="AN77" s="221"/>
    </row>
    <row r="78" spans="1:40" s="183" customFormat="1" ht="16.5" thickTop="1" thickBot="1" x14ac:dyDescent="0.3">
      <c r="A78" s="222" t="s">
        <v>7</v>
      </c>
      <c r="B78" s="223" t="s">
        <v>44</v>
      </c>
      <c r="C78" s="224">
        <f>SUM(C12:C75)</f>
        <v>34677585.469999999</v>
      </c>
      <c r="D78" s="224">
        <f>SUM(D12:D75)</f>
        <v>0</v>
      </c>
      <c r="E78" s="247">
        <v>6.7707815591495123E-3</v>
      </c>
      <c r="F78" s="248">
        <v>232017.08</v>
      </c>
      <c r="G78" s="247">
        <v>2.3452339833194231E-2</v>
      </c>
      <c r="H78" s="248">
        <v>803650.71</v>
      </c>
      <c r="I78" s="247">
        <v>7.483079583453911E-2</v>
      </c>
      <c r="J78" s="248">
        <v>2565436.8200000003</v>
      </c>
      <c r="K78" s="247">
        <v>0.11360339814479356</v>
      </c>
      <c r="L78" s="248">
        <v>3895434.28</v>
      </c>
      <c r="M78" s="247">
        <v>0.16993106309877956</v>
      </c>
      <c r="N78" s="248">
        <v>5835545</v>
      </c>
      <c r="O78" s="247">
        <v>0.21844106388869511</v>
      </c>
      <c r="P78" s="248">
        <v>7531316.3000000017</v>
      </c>
      <c r="Q78" s="247">
        <v>0.25274131564889424</v>
      </c>
      <c r="R78" s="248">
        <v>8713905.5100000016</v>
      </c>
      <c r="S78" s="247">
        <v>0.31571454622744344</v>
      </c>
      <c r="T78" s="248">
        <v>10895159.489999998</v>
      </c>
      <c r="U78" s="247">
        <f>+V78/$C$78</f>
        <v>0.39794362591762072</v>
      </c>
      <c r="V78" s="248">
        <f>SUM(V11:V75)</f>
        <v>13799724.1</v>
      </c>
      <c r="W78" s="247">
        <v>0.48816854655886821</v>
      </c>
      <c r="X78" s="248">
        <v>16889192.180000003</v>
      </c>
      <c r="Y78" s="247">
        <f>+Z78/$C$78</f>
        <v>0.58458639017810488</v>
      </c>
      <c r="Z78" s="248">
        <f>SUM(Z11:Z75)</f>
        <v>20272044.509999998</v>
      </c>
      <c r="AA78" s="160">
        <f>+AB78/$C$78</f>
        <v>0.68063158468960006</v>
      </c>
      <c r="AB78" s="225">
        <f>SUM(AB11:AB75)</f>
        <v>23602659.951655149</v>
      </c>
      <c r="AC78" s="160">
        <f>+AD78/$C$78</f>
        <v>0.7738446029263274</v>
      </c>
      <c r="AD78" s="225">
        <f>SUM(AD11:AD75)</f>
        <v>26835062.358475931</v>
      </c>
      <c r="AE78" s="160">
        <f>+AF78/$C$78</f>
        <v>0.85928621692776297</v>
      </c>
      <c r="AF78" s="225">
        <f>SUM(AF11:AF75)</f>
        <v>29797971.230705459</v>
      </c>
      <c r="AG78" s="160">
        <f>+AH78/$C$78</f>
        <v>0.93376357057276149</v>
      </c>
      <c r="AH78" s="225">
        <f>SUM(AH11:AH75)</f>
        <v>32380666.027309313</v>
      </c>
      <c r="AI78" s="160">
        <f>+AJ78/$C$78</f>
        <v>0.98183666361243904</v>
      </c>
      <c r="AJ78" s="225">
        <f>SUM(AJ11:AJ75)</f>
        <v>34047724.819999993</v>
      </c>
      <c r="AK78" s="160">
        <f>+AL78/$C$78</f>
        <v>1</v>
      </c>
      <c r="AL78" s="225">
        <f>SUM(AL11:AL75)</f>
        <v>34677585.469999999</v>
      </c>
      <c r="AM78" s="160">
        <f>+AN78/$C$78</f>
        <v>1</v>
      </c>
      <c r="AN78" s="225">
        <f>SUM(AN11:AN75)</f>
        <v>34677585.469999999</v>
      </c>
    </row>
    <row r="79" spans="1:40" s="183" customFormat="1" ht="15.75" thickBot="1" x14ac:dyDescent="0.3">
      <c r="A79" s="226"/>
      <c r="B79" s="227" t="s">
        <v>42</v>
      </c>
      <c r="C79" s="228"/>
      <c r="D79" s="228"/>
      <c r="E79" s="249"/>
      <c r="F79" s="250">
        <v>232017.08</v>
      </c>
      <c r="G79" s="249"/>
      <c r="H79" s="250">
        <v>571633.63</v>
      </c>
      <c r="I79" s="249"/>
      <c r="J79" s="250">
        <v>1761786.1100000003</v>
      </c>
      <c r="K79" s="249"/>
      <c r="L79" s="250">
        <v>1329997.4599999995</v>
      </c>
      <c r="M79" s="249"/>
      <c r="N79" s="250">
        <v>1932718.7500000014</v>
      </c>
      <c r="O79" s="249"/>
      <c r="P79" s="250">
        <v>1695771.3000000017</v>
      </c>
      <c r="Q79" s="249"/>
      <c r="R79" s="250">
        <v>1182589.21</v>
      </c>
      <c r="S79" s="249"/>
      <c r="T79" s="250">
        <v>2181253.9799999967</v>
      </c>
      <c r="U79" s="249"/>
      <c r="V79" s="250">
        <f>+V78-T78</f>
        <v>2904564.6100000013</v>
      </c>
      <c r="W79" s="249"/>
      <c r="X79" s="250">
        <v>3089468.0800000038</v>
      </c>
      <c r="Y79" s="249"/>
      <c r="Z79" s="250">
        <f>+Z78-X78</f>
        <v>3382852.3299999945</v>
      </c>
      <c r="AA79" s="161"/>
      <c r="AB79" s="229">
        <f>+AB78-Z78</f>
        <v>3330615.4416551515</v>
      </c>
      <c r="AC79" s="161"/>
      <c r="AD79" s="229">
        <f>+AD78-AB78</f>
        <v>3232402.4068207815</v>
      </c>
      <c r="AE79" s="161"/>
      <c r="AF79" s="229">
        <f>+AF78-AD78</f>
        <v>2962908.8722295277</v>
      </c>
      <c r="AG79" s="161"/>
      <c r="AH79" s="229">
        <f>+AH78-AF78</f>
        <v>2582694.7966038547</v>
      </c>
      <c r="AI79" s="161"/>
      <c r="AJ79" s="229">
        <f>+AJ78-AH78</f>
        <v>1667058.7926906794</v>
      </c>
      <c r="AK79" s="161"/>
      <c r="AL79" s="229">
        <f>+AL78-AJ78</f>
        <v>629860.65000000596</v>
      </c>
      <c r="AM79" s="161"/>
      <c r="AN79" s="229">
        <f>+AN78-AL78</f>
        <v>0</v>
      </c>
    </row>
    <row r="80" spans="1:40" s="183" customFormat="1" ht="15.75" customHeight="1" thickBot="1" x14ac:dyDescent="0.3">
      <c r="A80" s="226"/>
      <c r="B80" s="230" t="s">
        <v>18</v>
      </c>
      <c r="C80" s="231"/>
      <c r="D80" s="231"/>
      <c r="E80" s="251"/>
      <c r="F80" s="252"/>
      <c r="G80" s="251"/>
      <c r="H80" s="252">
        <v>512838.52114999999</v>
      </c>
      <c r="I80" s="251"/>
      <c r="J80" s="252">
        <v>1699464.6542413291</v>
      </c>
      <c r="K80" s="251"/>
      <c r="L80" s="252">
        <v>1762062.0076211635</v>
      </c>
      <c r="M80" s="251"/>
      <c r="N80" s="252">
        <v>1770199.5996410321</v>
      </c>
      <c r="O80" s="251"/>
      <c r="P80" s="252">
        <v>1594565.5351580605</v>
      </c>
      <c r="Q80" s="251"/>
      <c r="R80" s="252">
        <v>1117577.9795833519</v>
      </c>
      <c r="S80" s="251"/>
      <c r="T80" s="252">
        <v>1616975.1659592502</v>
      </c>
      <c r="U80" s="251"/>
      <c r="V80" s="252">
        <v>2796332.0327861514</v>
      </c>
      <c r="W80" s="251"/>
      <c r="X80" s="252">
        <v>3001205.7157368865</v>
      </c>
      <c r="Y80" s="251"/>
      <c r="Z80" s="252">
        <v>3358517.4867530353</v>
      </c>
      <c r="AA80" s="162"/>
      <c r="AB80" s="95">
        <v>3405127.0250068344</v>
      </c>
      <c r="AC80" s="162"/>
      <c r="AD80" s="95">
        <v>3311827.7456787936</v>
      </c>
      <c r="AE80" s="162"/>
      <c r="AF80" s="95">
        <v>3036447.8574766219</v>
      </c>
      <c r="AG80" s="162"/>
      <c r="AH80" s="95">
        <v>2292729.288570147</v>
      </c>
      <c r="AI80" s="162"/>
      <c r="AJ80" s="95">
        <v>1673348.7665145583</v>
      </c>
      <c r="AK80" s="162"/>
      <c r="AL80" s="95">
        <v>629860.65000000596</v>
      </c>
      <c r="AM80" s="162"/>
      <c r="AN80" s="95">
        <v>0</v>
      </c>
    </row>
    <row r="81" spans="1:40" s="183" customFormat="1" ht="14.25" customHeight="1" thickBot="1" x14ac:dyDescent="0.3">
      <c r="A81" s="232"/>
      <c r="B81" s="233" t="s">
        <v>3</v>
      </c>
      <c r="C81" s="234"/>
      <c r="D81" s="234"/>
      <c r="E81" s="253" t="e">
        <v>#DIV/0!</v>
      </c>
      <c r="F81" s="254">
        <v>232017.08</v>
      </c>
      <c r="G81" s="253">
        <v>0.11464643630544098</v>
      </c>
      <c r="H81" s="254">
        <v>58795.108850000019</v>
      </c>
      <c r="I81" s="253">
        <v>3.667122796766413E-2</v>
      </c>
      <c r="J81" s="254">
        <v>62321.455758671276</v>
      </c>
      <c r="K81" s="253">
        <v>-0.24520394046998611</v>
      </c>
      <c r="L81" s="254">
        <v>-432064.54762116401</v>
      </c>
      <c r="M81" s="253">
        <v>9.1808375954850294E-2</v>
      </c>
      <c r="N81" s="254">
        <v>162519.15035896935</v>
      </c>
      <c r="O81" s="253">
        <v>6.3469178663709935E-2</v>
      </c>
      <c r="P81" s="254">
        <v>101205.76484194119</v>
      </c>
      <c r="Q81" s="253">
        <v>5.8171538455764088E-2</v>
      </c>
      <c r="R81" s="254">
        <v>65011.23041664809</v>
      </c>
      <c r="S81" s="253">
        <v>0.34897184936417697</v>
      </c>
      <c r="T81" s="254">
        <v>564278.81404074654</v>
      </c>
      <c r="U81" s="253">
        <f>+V81/V80</f>
        <v>3.8705195214608093E-2</v>
      </c>
      <c r="V81" s="254">
        <f>+V79-V80</f>
        <v>108232.57721384987</v>
      </c>
      <c r="W81" s="253">
        <v>2.9408968469009544E-2</v>
      </c>
      <c r="X81" s="254">
        <v>88262.364263117313</v>
      </c>
      <c r="Y81" s="253">
        <f>+Z81/Z80</f>
        <v>7.2457098535120964E-3</v>
      </c>
      <c r="Z81" s="254">
        <f>+Z79-Z80</f>
        <v>24334.84324695915</v>
      </c>
      <c r="AA81" s="163">
        <f>+AB81/AB80</f>
        <v>-2.1882174381301772E-2</v>
      </c>
      <c r="AB81" s="235">
        <f>+AB79-AB80</f>
        <v>-74511.583351682872</v>
      </c>
      <c r="AC81" s="163">
        <f>+AD81/AD80</f>
        <v>-2.3982327873677819E-2</v>
      </c>
      <c r="AD81" s="235">
        <f>+AD79-AD80</f>
        <v>-79425.33885801211</v>
      </c>
      <c r="AE81" s="163">
        <f>+AF81/AF80</f>
        <v>-2.4218754511466323E-2</v>
      </c>
      <c r="AF81" s="235">
        <f>+AF79-AF80</f>
        <v>-73538.985247094184</v>
      </c>
      <c r="AG81" s="163">
        <f>+AH81/AH80</f>
        <v>0.12647175987119866</v>
      </c>
      <c r="AH81" s="235">
        <f>+AH79-AH80</f>
        <v>289965.50803370774</v>
      </c>
      <c r="AI81" s="163">
        <f>+AJ81/AJ80</f>
        <v>-3.7589138318011189E-3</v>
      </c>
      <c r="AJ81" s="235">
        <f>+AJ79-AJ80</f>
        <v>-6289.9738238789141</v>
      </c>
      <c r="AK81" s="163">
        <f>+AL81/AL80</f>
        <v>0</v>
      </c>
      <c r="AL81" s="235">
        <f>+AL79-AL80</f>
        <v>0</v>
      </c>
      <c r="AM81" s="163" t="e">
        <f>+AN81/AN80</f>
        <v>#DIV/0!</v>
      </c>
      <c r="AN81" s="235">
        <f>+AN79-AN80</f>
        <v>0</v>
      </c>
    </row>
    <row r="82" spans="1:40" s="183" customFormat="1" ht="12" customHeight="1" thickTop="1" x14ac:dyDescent="0.25">
      <c r="A82" s="236"/>
      <c r="B82" s="237"/>
      <c r="C82" s="238"/>
      <c r="D82" s="238"/>
      <c r="E82" s="239"/>
      <c r="F82" s="240"/>
      <c r="G82" s="239"/>
      <c r="H82" s="240"/>
      <c r="I82" s="239"/>
      <c r="J82" s="240"/>
      <c r="K82" s="239"/>
      <c r="L82" s="240"/>
      <c r="M82" s="239"/>
      <c r="N82" s="240"/>
      <c r="O82" s="239"/>
      <c r="P82" s="240"/>
      <c r="Q82" s="239"/>
      <c r="R82" s="240"/>
      <c r="S82" s="239"/>
      <c r="T82" s="240"/>
      <c r="U82" s="239"/>
      <c r="V82" s="240"/>
      <c r="W82" s="239"/>
      <c r="X82" s="240"/>
      <c r="Y82" s="239"/>
      <c r="Z82" s="240"/>
      <c r="AA82" s="239"/>
      <c r="AB82" s="240"/>
      <c r="AC82" s="239"/>
      <c r="AD82" s="240"/>
      <c r="AE82" s="239"/>
      <c r="AF82" s="240"/>
      <c r="AG82" s="239"/>
      <c r="AH82" s="240"/>
      <c r="AI82" s="239"/>
      <c r="AJ82" s="240"/>
      <c r="AK82" s="239"/>
      <c r="AL82" s="240"/>
      <c r="AM82" s="239"/>
      <c r="AN82" s="240"/>
    </row>
    <row r="83" spans="1:40" ht="12" customHeight="1" thickBot="1" x14ac:dyDescent="0.3">
      <c r="A83" s="41"/>
      <c r="B83" s="42"/>
      <c r="C83" s="43"/>
      <c r="D83" s="43"/>
      <c r="E83" s="164"/>
      <c r="F83" s="44"/>
      <c r="G83" s="164"/>
      <c r="H83" s="44"/>
      <c r="I83" s="164"/>
      <c r="J83" s="44"/>
      <c r="K83" s="164"/>
      <c r="L83" s="44"/>
      <c r="M83" s="164"/>
      <c r="N83" s="44"/>
      <c r="O83" s="164"/>
      <c r="P83" s="44"/>
      <c r="Q83" s="164"/>
      <c r="R83" s="44"/>
      <c r="S83" s="164"/>
      <c r="T83" s="44"/>
      <c r="U83" s="164"/>
      <c r="V83" s="44"/>
      <c r="W83" s="164"/>
      <c r="X83" s="44"/>
      <c r="Y83" s="164"/>
      <c r="Z83" s="44"/>
      <c r="AA83" s="164"/>
      <c r="AB83" s="240"/>
      <c r="AC83" s="164"/>
      <c r="AD83" s="44"/>
      <c r="AE83" s="164"/>
      <c r="AF83" s="44"/>
      <c r="AG83" s="164"/>
      <c r="AH83" s="44"/>
      <c r="AI83" s="164"/>
      <c r="AJ83" s="44"/>
      <c r="AK83" s="164"/>
      <c r="AL83" s="44"/>
      <c r="AM83" s="164"/>
      <c r="AN83" s="44"/>
    </row>
    <row r="84" spans="1:40" ht="15" customHeight="1" outlineLevel="1" x14ac:dyDescent="0.25">
      <c r="A84" s="87" t="s">
        <v>39</v>
      </c>
      <c r="B84" s="87"/>
      <c r="C84" s="88"/>
      <c r="D84" s="87"/>
      <c r="E84" s="165"/>
      <c r="F84" s="89"/>
      <c r="G84" s="165"/>
      <c r="H84" s="89"/>
      <c r="I84" s="165"/>
      <c r="J84" s="89"/>
      <c r="K84" s="165"/>
      <c r="L84" s="89"/>
      <c r="M84" s="165"/>
      <c r="N84" s="89"/>
      <c r="O84" s="165"/>
      <c r="P84" s="89"/>
      <c r="Q84" s="165"/>
      <c r="R84" s="89"/>
      <c r="S84" s="165"/>
      <c r="T84" s="89"/>
      <c r="U84" s="165"/>
      <c r="V84" s="89"/>
      <c r="W84" s="165"/>
      <c r="X84" s="89"/>
      <c r="Y84" s="165"/>
      <c r="Z84" s="89"/>
      <c r="AA84" s="165"/>
      <c r="AB84" s="89"/>
      <c r="AC84" s="165"/>
      <c r="AD84" s="89"/>
      <c r="AE84" s="165"/>
      <c r="AF84" s="89"/>
      <c r="AG84" s="165"/>
      <c r="AH84" s="89"/>
      <c r="AI84" s="165"/>
      <c r="AJ84" s="89"/>
      <c r="AK84" s="165"/>
      <c r="AL84" s="89"/>
      <c r="AM84" s="165"/>
      <c r="AN84" s="89"/>
    </row>
    <row r="85" spans="1:40" ht="15" customHeight="1" outlineLevel="1" x14ac:dyDescent="0.25">
      <c r="A85" s="110"/>
      <c r="B85" s="110"/>
      <c r="C85" s="111">
        <v>44713</v>
      </c>
      <c r="D85" s="113">
        <v>34267400</v>
      </c>
      <c r="E85" s="166"/>
      <c r="F85" s="112">
        <v>232017.08</v>
      </c>
      <c r="G85" s="166"/>
      <c r="H85" s="112">
        <v>500000</v>
      </c>
      <c r="I85" s="166"/>
      <c r="J85" s="112">
        <v>1800000</v>
      </c>
      <c r="K85" s="166"/>
      <c r="L85" s="112">
        <v>1800000</v>
      </c>
      <c r="M85" s="166"/>
      <c r="N85" s="112">
        <v>1700000</v>
      </c>
      <c r="O85" s="166"/>
      <c r="P85" s="112">
        <v>1700000</v>
      </c>
      <c r="Q85" s="166"/>
      <c r="R85" s="112">
        <v>2000000</v>
      </c>
      <c r="S85" s="166"/>
      <c r="T85" s="112">
        <v>2300000</v>
      </c>
      <c r="U85" s="166"/>
      <c r="V85" s="112">
        <v>2800000</v>
      </c>
      <c r="W85" s="166"/>
      <c r="X85" s="112">
        <v>3200000</v>
      </c>
      <c r="Y85" s="166"/>
      <c r="Z85" s="112">
        <v>3200000</v>
      </c>
      <c r="AA85" s="166"/>
      <c r="AB85" s="112">
        <v>2900000</v>
      </c>
      <c r="AC85" s="166"/>
      <c r="AD85" s="112">
        <v>2600000</v>
      </c>
      <c r="AE85" s="166"/>
      <c r="AF85" s="112">
        <v>2300000</v>
      </c>
      <c r="AG85" s="166"/>
      <c r="AH85" s="112">
        <v>2200000</v>
      </c>
      <c r="AI85" s="166"/>
      <c r="AJ85" s="112">
        <v>2200000</v>
      </c>
      <c r="AK85" s="166"/>
      <c r="AL85" s="112">
        <v>835382.92000000179</v>
      </c>
      <c r="AM85" s="166"/>
      <c r="AN85" s="112"/>
    </row>
    <row r="86" spans="1:40" ht="15" customHeight="1" outlineLevel="1" x14ac:dyDescent="0.25">
      <c r="A86" s="110"/>
      <c r="B86" s="110"/>
      <c r="C86" s="111">
        <v>44743</v>
      </c>
      <c r="D86" s="113">
        <f>SUM(E86:AN86)</f>
        <v>34267400</v>
      </c>
      <c r="E86" s="166"/>
      <c r="F86" s="112">
        <v>232017.08</v>
      </c>
      <c r="G86" s="166"/>
      <c r="H86" s="112">
        <v>571633.63</v>
      </c>
      <c r="I86" s="166"/>
      <c r="J86" s="112">
        <v>1600000</v>
      </c>
      <c r="K86" s="166"/>
      <c r="L86" s="112">
        <v>1600000</v>
      </c>
      <c r="M86" s="166"/>
      <c r="N86" s="112">
        <v>1700000</v>
      </c>
      <c r="O86" s="166"/>
      <c r="P86" s="112">
        <v>1700000</v>
      </c>
      <c r="Q86" s="166"/>
      <c r="R86" s="112">
        <v>1600000</v>
      </c>
      <c r="S86" s="166"/>
      <c r="T86" s="112">
        <v>2000000</v>
      </c>
      <c r="U86" s="166"/>
      <c r="V86" s="112">
        <v>2800000</v>
      </c>
      <c r="W86" s="166"/>
      <c r="X86" s="112">
        <v>3300000</v>
      </c>
      <c r="Y86" s="166"/>
      <c r="Z86" s="112">
        <v>3300000</v>
      </c>
      <c r="AA86" s="166"/>
      <c r="AB86" s="112">
        <v>3000000</v>
      </c>
      <c r="AC86" s="166"/>
      <c r="AD86" s="112">
        <v>2800000</v>
      </c>
      <c r="AE86" s="166"/>
      <c r="AF86" s="112">
        <v>2500000</v>
      </c>
      <c r="AG86" s="166"/>
      <c r="AH86" s="112">
        <v>2400000</v>
      </c>
      <c r="AI86" s="166"/>
      <c r="AJ86" s="112">
        <v>2400000</v>
      </c>
      <c r="AK86" s="166"/>
      <c r="AL86" s="112">
        <v>763749.28999999911</v>
      </c>
      <c r="AM86" s="166"/>
      <c r="AN86" s="112"/>
    </row>
    <row r="87" spans="1:40" ht="15" customHeight="1" outlineLevel="1" x14ac:dyDescent="0.25">
      <c r="A87" s="110"/>
      <c r="B87" s="110"/>
      <c r="C87" s="111">
        <v>44805</v>
      </c>
      <c r="D87" s="113">
        <f>SUM(E87:AN87)</f>
        <v>34283169</v>
      </c>
      <c r="E87" s="166"/>
      <c r="F87" s="112">
        <v>232017.08</v>
      </c>
      <c r="G87" s="166"/>
      <c r="H87" s="112">
        <v>571633.63</v>
      </c>
      <c r="I87" s="166"/>
      <c r="J87" s="112">
        <v>1761786.1100000003</v>
      </c>
      <c r="K87" s="166"/>
      <c r="L87" s="112">
        <v>1600000</v>
      </c>
      <c r="M87" s="166"/>
      <c r="N87" s="112">
        <v>1700000</v>
      </c>
      <c r="O87" s="166"/>
      <c r="P87" s="112">
        <v>1700000</v>
      </c>
      <c r="Q87" s="166"/>
      <c r="R87" s="112">
        <v>1600000</v>
      </c>
      <c r="S87" s="166"/>
      <c r="T87" s="112">
        <v>2000000</v>
      </c>
      <c r="U87" s="166"/>
      <c r="V87" s="112">
        <v>2800000</v>
      </c>
      <c r="W87" s="166"/>
      <c r="X87" s="112">
        <v>3300000</v>
      </c>
      <c r="Y87" s="166"/>
      <c r="Z87" s="112">
        <v>3300000</v>
      </c>
      <c r="AA87" s="166"/>
      <c r="AB87" s="112">
        <v>3000000</v>
      </c>
      <c r="AC87" s="166"/>
      <c r="AD87" s="112">
        <v>2800000</v>
      </c>
      <c r="AE87" s="166"/>
      <c r="AF87" s="112">
        <v>2500000</v>
      </c>
      <c r="AG87" s="166"/>
      <c r="AH87" s="112">
        <v>2400000</v>
      </c>
      <c r="AI87" s="166"/>
      <c r="AJ87" s="112">
        <v>2400000</v>
      </c>
      <c r="AK87" s="166"/>
      <c r="AL87" s="112">
        <v>617732.1799999997</v>
      </c>
      <c r="AM87" s="166"/>
      <c r="AN87" s="112"/>
    </row>
    <row r="88" spans="1:40" ht="15" customHeight="1" outlineLevel="1" x14ac:dyDescent="0.25">
      <c r="A88" s="110"/>
      <c r="B88" s="110"/>
      <c r="C88" s="111">
        <v>44835</v>
      </c>
      <c r="D88" s="113">
        <v>34289769</v>
      </c>
      <c r="E88" s="166"/>
      <c r="F88" s="112">
        <v>232017.08</v>
      </c>
      <c r="G88" s="166"/>
      <c r="H88" s="112">
        <v>571633.63</v>
      </c>
      <c r="I88" s="166"/>
      <c r="J88" s="112">
        <v>1761786.1100000003</v>
      </c>
      <c r="K88" s="166"/>
      <c r="L88" s="112">
        <v>1329997.4599999995</v>
      </c>
      <c r="M88" s="166"/>
      <c r="N88" s="112">
        <v>1600000</v>
      </c>
      <c r="O88" s="166"/>
      <c r="P88" s="112">
        <v>1500000</v>
      </c>
      <c r="Q88" s="166"/>
      <c r="R88" s="112">
        <v>1300000</v>
      </c>
      <c r="S88" s="166"/>
      <c r="T88" s="112">
        <v>1500000</v>
      </c>
      <c r="U88" s="166"/>
      <c r="V88" s="112">
        <v>3000000</v>
      </c>
      <c r="W88" s="166"/>
      <c r="X88" s="112">
        <v>3300000</v>
      </c>
      <c r="Y88" s="166"/>
      <c r="Z88" s="112">
        <v>3300000</v>
      </c>
      <c r="AA88" s="166"/>
      <c r="AB88" s="112">
        <v>3000000</v>
      </c>
      <c r="AC88" s="112"/>
      <c r="AD88" s="112">
        <v>3000000</v>
      </c>
      <c r="AE88" s="112"/>
      <c r="AF88" s="112">
        <v>3000000</v>
      </c>
      <c r="AG88" s="166"/>
      <c r="AH88" s="112">
        <v>2400000</v>
      </c>
      <c r="AI88" s="166"/>
      <c r="AJ88" s="112">
        <v>2400000</v>
      </c>
      <c r="AK88" s="166"/>
      <c r="AL88" s="112">
        <v>1094334.7199999988</v>
      </c>
      <c r="AM88" s="166"/>
      <c r="AN88" s="112"/>
    </row>
    <row r="89" spans="1:40" ht="15" customHeight="1" outlineLevel="1" x14ac:dyDescent="0.25">
      <c r="A89" s="110"/>
      <c r="B89" s="110"/>
      <c r="C89" s="111">
        <v>44866</v>
      </c>
      <c r="D89" s="113">
        <f>SUM(E89:AN89)</f>
        <v>34322487.75</v>
      </c>
      <c r="E89" s="166"/>
      <c r="F89" s="112">
        <v>232017.08</v>
      </c>
      <c r="G89" s="166"/>
      <c r="H89" s="112">
        <v>571633.63</v>
      </c>
      <c r="I89" s="166"/>
      <c r="J89" s="112">
        <v>1761786.1100000003</v>
      </c>
      <c r="K89" s="166"/>
      <c r="L89" s="112">
        <v>1329997.4599999995</v>
      </c>
      <c r="M89" s="166"/>
      <c r="N89" s="112">
        <v>1932718.7500000014</v>
      </c>
      <c r="O89" s="166"/>
      <c r="P89" s="112">
        <v>1500000</v>
      </c>
      <c r="Q89" s="166"/>
      <c r="R89" s="112">
        <v>1000000</v>
      </c>
      <c r="S89" s="166"/>
      <c r="T89" s="112">
        <v>1500000</v>
      </c>
      <c r="U89" s="166"/>
      <c r="V89" s="112">
        <v>3000000</v>
      </c>
      <c r="W89" s="166"/>
      <c r="X89" s="112">
        <v>3300000</v>
      </c>
      <c r="Y89" s="166"/>
      <c r="Z89" s="112">
        <v>3300000</v>
      </c>
      <c r="AA89" s="166"/>
      <c r="AB89" s="112">
        <v>3000000</v>
      </c>
      <c r="AC89" s="112"/>
      <c r="AD89" s="112">
        <v>3000000</v>
      </c>
      <c r="AE89" s="112"/>
      <c r="AF89" s="112">
        <v>3000000</v>
      </c>
      <c r="AG89" s="166"/>
      <c r="AH89" s="112">
        <v>2400000</v>
      </c>
      <c r="AI89" s="166"/>
      <c r="AJ89" s="112">
        <v>2400000</v>
      </c>
      <c r="AK89" s="166"/>
      <c r="AL89" s="112">
        <v>1094334.7199999988</v>
      </c>
      <c r="AM89" s="166"/>
      <c r="AN89" s="112"/>
    </row>
    <row r="90" spans="1:40" ht="15" customHeight="1" outlineLevel="1" x14ac:dyDescent="0.25">
      <c r="A90" s="110"/>
      <c r="B90" s="110"/>
      <c r="C90" s="111">
        <v>44896</v>
      </c>
      <c r="D90" s="113">
        <f>SUM(E90:AN90)</f>
        <v>34477566.469999999</v>
      </c>
      <c r="E90" s="166"/>
      <c r="F90" s="112">
        <v>232017.08</v>
      </c>
      <c r="G90" s="166"/>
      <c r="H90" s="112">
        <v>571633.63</v>
      </c>
      <c r="I90" s="166"/>
      <c r="J90" s="112">
        <v>1761786.1100000003</v>
      </c>
      <c r="K90" s="166"/>
      <c r="L90" s="112">
        <v>1329997.4599999995</v>
      </c>
      <c r="M90" s="166"/>
      <c r="N90" s="112">
        <v>1932718.7500000014</v>
      </c>
      <c r="O90" s="166"/>
      <c r="P90" s="112">
        <v>1695771.3000000017</v>
      </c>
      <c r="Q90" s="166"/>
      <c r="R90" s="112">
        <v>1000000</v>
      </c>
      <c r="S90" s="166"/>
      <c r="T90" s="112">
        <v>1500000</v>
      </c>
      <c r="U90" s="166"/>
      <c r="V90" s="112">
        <v>2300000</v>
      </c>
      <c r="W90" s="166"/>
      <c r="X90" s="112">
        <v>3000000</v>
      </c>
      <c r="Y90" s="166"/>
      <c r="Z90" s="112">
        <v>3300000</v>
      </c>
      <c r="AA90" s="166"/>
      <c r="AB90" s="112">
        <v>3500000</v>
      </c>
      <c r="AC90" s="112"/>
      <c r="AD90" s="112">
        <v>3300000</v>
      </c>
      <c r="AE90" s="112"/>
      <c r="AF90" s="112">
        <v>3200000</v>
      </c>
      <c r="AG90" s="166"/>
      <c r="AH90" s="112">
        <v>2400000</v>
      </c>
      <c r="AI90" s="166"/>
      <c r="AJ90" s="112">
        <v>2400000</v>
      </c>
      <c r="AK90" s="166"/>
      <c r="AL90" s="112">
        <v>1053642.1399999969</v>
      </c>
      <c r="AM90" s="166"/>
      <c r="AN90" s="112"/>
    </row>
    <row r="91" spans="1:40" ht="15" customHeight="1" outlineLevel="1" x14ac:dyDescent="0.25">
      <c r="A91" s="110"/>
      <c r="B91" s="110"/>
      <c r="C91" s="111">
        <v>44927</v>
      </c>
      <c r="D91" s="113">
        <f>SUM(E91:AN91)</f>
        <v>34477566.469999999</v>
      </c>
      <c r="E91" s="166"/>
      <c r="F91" s="112">
        <v>232017.08</v>
      </c>
      <c r="G91" s="166"/>
      <c r="H91" s="112">
        <v>571633.63</v>
      </c>
      <c r="I91" s="166"/>
      <c r="J91" s="112">
        <v>1761786.1100000003</v>
      </c>
      <c r="K91" s="166"/>
      <c r="L91" s="112">
        <v>1329997.4599999995</v>
      </c>
      <c r="M91" s="166"/>
      <c r="N91" s="112">
        <v>1932718.7500000014</v>
      </c>
      <c r="O91" s="166"/>
      <c r="P91" s="112">
        <v>1695771.3000000017</v>
      </c>
      <c r="Q91" s="166"/>
      <c r="R91" s="112">
        <v>1182589.21</v>
      </c>
      <c r="S91" s="166"/>
      <c r="T91" s="112">
        <v>1500000</v>
      </c>
      <c r="U91" s="166"/>
      <c r="V91" s="112">
        <v>2300000</v>
      </c>
      <c r="W91" s="166"/>
      <c r="X91" s="112">
        <v>3000000</v>
      </c>
      <c r="Y91" s="166"/>
      <c r="Z91" s="112">
        <v>3300000</v>
      </c>
      <c r="AA91" s="166"/>
      <c r="AB91" s="112">
        <v>3500000</v>
      </c>
      <c r="AC91" s="112"/>
      <c r="AD91" s="112">
        <v>3300000</v>
      </c>
      <c r="AE91" s="112"/>
      <c r="AF91" s="112">
        <v>3200000</v>
      </c>
      <c r="AG91" s="166"/>
      <c r="AH91" s="112">
        <v>2400000</v>
      </c>
      <c r="AI91" s="166"/>
      <c r="AJ91" s="112">
        <v>2400000</v>
      </c>
      <c r="AK91" s="166"/>
      <c r="AL91" s="112">
        <v>871052.92999999225</v>
      </c>
      <c r="AM91" s="166"/>
      <c r="AN91" s="112"/>
    </row>
    <row r="92" spans="1:40" ht="15" customHeight="1" outlineLevel="1" x14ac:dyDescent="0.25">
      <c r="A92" s="110"/>
      <c r="B92" s="110"/>
      <c r="C92" s="111">
        <v>44958</v>
      </c>
      <c r="D92" s="113">
        <v>34509526.469999999</v>
      </c>
      <c r="E92" s="166"/>
      <c r="F92" s="112">
        <v>232017.08</v>
      </c>
      <c r="G92" s="166"/>
      <c r="H92" s="112">
        <v>571633.63</v>
      </c>
      <c r="I92" s="166"/>
      <c r="J92" s="112">
        <v>1761786.1100000003</v>
      </c>
      <c r="K92" s="166"/>
      <c r="L92" s="112">
        <v>1329997.4599999995</v>
      </c>
      <c r="M92" s="166"/>
      <c r="N92" s="112">
        <v>1932718.7500000014</v>
      </c>
      <c r="O92" s="166"/>
      <c r="P92" s="112">
        <v>1695771.3000000017</v>
      </c>
      <c r="Q92" s="166"/>
      <c r="R92" s="112">
        <v>1182589.21</v>
      </c>
      <c r="S92" s="166"/>
      <c r="T92" s="112">
        <v>2181253.9799999967</v>
      </c>
      <c r="U92" s="166"/>
      <c r="V92" s="112">
        <v>2600000</v>
      </c>
      <c r="W92" s="166"/>
      <c r="X92" s="112">
        <v>3000000</v>
      </c>
      <c r="Y92" s="166"/>
      <c r="Z92" s="112">
        <v>3300000</v>
      </c>
      <c r="AA92" s="166"/>
      <c r="AB92" s="112">
        <v>3500000</v>
      </c>
      <c r="AC92" s="112"/>
      <c r="AD92" s="112">
        <v>3300000</v>
      </c>
      <c r="AE92" s="112"/>
      <c r="AF92" s="112">
        <v>3200000</v>
      </c>
      <c r="AG92" s="166"/>
      <c r="AH92" s="112">
        <v>2400000</v>
      </c>
      <c r="AI92" s="166"/>
      <c r="AJ92" s="112">
        <v>1500000</v>
      </c>
      <c r="AK92" s="166"/>
      <c r="AL92" s="112">
        <v>821758.95000000298</v>
      </c>
      <c r="AM92" s="166"/>
      <c r="AN92" s="112"/>
    </row>
    <row r="93" spans="1:40" ht="15" customHeight="1" outlineLevel="1" x14ac:dyDescent="0.25">
      <c r="A93" s="110"/>
      <c r="B93" s="110"/>
      <c r="C93" s="111">
        <v>44986</v>
      </c>
      <c r="D93" s="113">
        <f>SUM(E93:AN93)</f>
        <v>34597051.159999996</v>
      </c>
      <c r="E93" s="166"/>
      <c r="F93" s="112">
        <v>232017.08</v>
      </c>
      <c r="G93" s="166"/>
      <c r="H93" s="112">
        <v>571633.63</v>
      </c>
      <c r="I93" s="166"/>
      <c r="J93" s="112">
        <v>1761786.1100000003</v>
      </c>
      <c r="K93" s="166"/>
      <c r="L93" s="112">
        <v>1329997.4599999995</v>
      </c>
      <c r="M93" s="166"/>
      <c r="N93" s="112">
        <v>1932718.7500000014</v>
      </c>
      <c r="O93" s="166"/>
      <c r="P93" s="112">
        <v>1695771.3000000017</v>
      </c>
      <c r="Q93" s="166"/>
      <c r="R93" s="112">
        <v>1182589.21</v>
      </c>
      <c r="S93" s="166"/>
      <c r="T93" s="112">
        <v>2181253.9799999967</v>
      </c>
      <c r="U93" s="166"/>
      <c r="V93" s="112">
        <f>+V$79</f>
        <v>2904564.6100000013</v>
      </c>
      <c r="W93" s="166"/>
      <c r="X93" s="112">
        <v>3000000</v>
      </c>
      <c r="Y93" s="166"/>
      <c r="Z93" s="112">
        <v>3300000</v>
      </c>
      <c r="AA93" s="166"/>
      <c r="AB93" s="112">
        <v>3500000</v>
      </c>
      <c r="AC93" s="112"/>
      <c r="AD93" s="112">
        <v>3300000</v>
      </c>
      <c r="AE93" s="112"/>
      <c r="AF93" s="112">
        <v>3200000</v>
      </c>
      <c r="AG93" s="166"/>
      <c r="AH93" s="112">
        <v>2400000</v>
      </c>
      <c r="AI93" s="166"/>
      <c r="AJ93" s="112">
        <v>1500000</v>
      </c>
      <c r="AK93" s="166"/>
      <c r="AL93" s="112">
        <v>604719.02999999374</v>
      </c>
      <c r="AM93" s="166"/>
      <c r="AN93" s="112"/>
    </row>
    <row r="94" spans="1:40" ht="15" customHeight="1" outlineLevel="1" x14ac:dyDescent="0.25">
      <c r="A94" s="110"/>
      <c r="B94" s="110"/>
      <c r="C94" s="111">
        <v>45017</v>
      </c>
      <c r="D94" s="113">
        <f>SUM(E94:AN94)</f>
        <v>34597051.159999996</v>
      </c>
      <c r="E94" s="166"/>
      <c r="F94" s="112">
        <v>232017.08</v>
      </c>
      <c r="G94" s="166"/>
      <c r="H94" s="112">
        <v>571633.63</v>
      </c>
      <c r="I94" s="166"/>
      <c r="J94" s="112">
        <v>1761786.1100000003</v>
      </c>
      <c r="K94" s="166"/>
      <c r="L94" s="112">
        <v>1329997.4599999995</v>
      </c>
      <c r="M94" s="166"/>
      <c r="N94" s="112">
        <v>1932718.7500000014</v>
      </c>
      <c r="O94" s="166"/>
      <c r="P94" s="112">
        <v>1695771.3000000017</v>
      </c>
      <c r="Q94" s="166"/>
      <c r="R94" s="112">
        <v>1182589.21</v>
      </c>
      <c r="S94" s="166"/>
      <c r="T94" s="112">
        <v>2181253.9799999967</v>
      </c>
      <c r="U94" s="166"/>
      <c r="V94" s="112">
        <f>+V$79</f>
        <v>2904564.6100000013</v>
      </c>
      <c r="W94" s="166"/>
      <c r="X94" s="112">
        <v>3089468.0800000038</v>
      </c>
      <c r="Y94" s="166"/>
      <c r="Z94" s="112">
        <v>3300000</v>
      </c>
      <c r="AA94" s="166"/>
      <c r="AB94" s="112">
        <v>3400000</v>
      </c>
      <c r="AC94" s="112"/>
      <c r="AD94" s="112">
        <v>3300000</v>
      </c>
      <c r="AE94" s="112"/>
      <c r="AF94" s="112">
        <v>3000000</v>
      </c>
      <c r="AG94" s="166"/>
      <c r="AH94" s="112">
        <v>2300000</v>
      </c>
      <c r="AI94" s="166"/>
      <c r="AJ94" s="112">
        <v>1500000</v>
      </c>
      <c r="AK94" s="166"/>
      <c r="AL94" s="112">
        <v>915250.94999998808</v>
      </c>
      <c r="AM94" s="166"/>
      <c r="AN94" s="112"/>
    </row>
    <row r="95" spans="1:40" ht="15" customHeight="1" outlineLevel="1" x14ac:dyDescent="0.25">
      <c r="A95" s="110"/>
      <c r="B95" s="110"/>
      <c r="C95" s="111">
        <f>+B5</f>
        <v>45047.714963159699</v>
      </c>
      <c r="D95" s="113">
        <f>SUM(E95:AN95)</f>
        <v>20264652.539999999</v>
      </c>
      <c r="E95" s="166"/>
      <c r="F95" s="112">
        <v>232017.08</v>
      </c>
      <c r="G95" s="166"/>
      <c r="H95" s="112">
        <v>571633.63</v>
      </c>
      <c r="I95" s="166"/>
      <c r="J95" s="112">
        <v>1761786.1100000003</v>
      </c>
      <c r="K95" s="166"/>
      <c r="L95" s="112">
        <v>1329997.4599999995</v>
      </c>
      <c r="M95" s="166"/>
      <c r="N95" s="112">
        <v>1932718.7500000014</v>
      </c>
      <c r="O95" s="166"/>
      <c r="P95" s="112">
        <v>1695771.3000000017</v>
      </c>
      <c r="Q95" s="166"/>
      <c r="R95" s="112">
        <v>1182589.21</v>
      </c>
      <c r="S95" s="166"/>
      <c r="T95" s="112">
        <v>2181253.9799999967</v>
      </c>
      <c r="U95" s="166"/>
      <c r="V95" s="112">
        <f>+V$79</f>
        <v>2904564.6100000013</v>
      </c>
      <c r="W95" s="166"/>
      <c r="X95" s="112">
        <v>3089468.0800000038</v>
      </c>
      <c r="Y95" s="166"/>
      <c r="Z95" s="112">
        <f>+Z79</f>
        <v>3382852.3299999945</v>
      </c>
      <c r="AA95" s="166"/>
      <c r="AB95" s="112"/>
      <c r="AC95" s="112"/>
      <c r="AD95" s="112"/>
      <c r="AE95" s="112"/>
      <c r="AF95" s="112"/>
      <c r="AG95" s="166"/>
      <c r="AH95" s="112"/>
      <c r="AI95" s="166"/>
      <c r="AJ95" s="112"/>
      <c r="AK95" s="166"/>
      <c r="AL95" s="112"/>
      <c r="AM95" s="166"/>
      <c r="AN95" s="112"/>
    </row>
    <row r="96" spans="1:40" ht="15" customHeight="1" outlineLevel="1" thickBot="1" x14ac:dyDescent="0.3">
      <c r="A96" s="90"/>
      <c r="B96" s="91"/>
      <c r="C96" s="92"/>
      <c r="D96" s="93">
        <f>+C78-D95</f>
        <v>14412932.93</v>
      </c>
      <c r="E96" s="167"/>
      <c r="F96" s="94"/>
      <c r="G96" s="167"/>
      <c r="H96" s="94"/>
      <c r="I96" s="167"/>
      <c r="J96" s="94"/>
      <c r="K96" s="167"/>
      <c r="L96" s="94"/>
      <c r="M96" s="167"/>
      <c r="N96" s="94"/>
      <c r="O96" s="167"/>
      <c r="P96" s="94"/>
      <c r="Q96" s="167"/>
      <c r="R96" s="94"/>
      <c r="S96" s="167"/>
      <c r="T96" s="94"/>
      <c r="U96" s="167"/>
      <c r="V96" s="94"/>
      <c r="W96" s="167"/>
      <c r="X96" s="94"/>
      <c r="Y96" s="167"/>
      <c r="Z96" s="94"/>
      <c r="AA96" s="167"/>
      <c r="AB96" s="94"/>
      <c r="AC96" s="167"/>
      <c r="AD96" s="94"/>
      <c r="AE96" s="167"/>
      <c r="AF96" s="94"/>
      <c r="AG96" s="167"/>
      <c r="AH96" s="94"/>
      <c r="AI96" s="167"/>
      <c r="AJ96" s="94"/>
      <c r="AK96" s="167"/>
      <c r="AL96" s="94"/>
      <c r="AM96" s="167"/>
      <c r="AN96" s="94"/>
    </row>
    <row r="97" spans="1:40" ht="12" customHeight="1" outlineLevel="1" x14ac:dyDescent="0.25">
      <c r="A97" s="41"/>
      <c r="B97" s="42"/>
      <c r="C97" s="43"/>
      <c r="D97" s="43"/>
      <c r="E97" s="164"/>
      <c r="F97" s="44"/>
      <c r="G97" s="164"/>
      <c r="H97" s="44"/>
      <c r="I97" s="164"/>
      <c r="J97" s="44"/>
      <c r="K97" s="164"/>
      <c r="L97" s="44"/>
      <c r="M97" s="164"/>
      <c r="N97" s="44"/>
      <c r="O97" s="164"/>
      <c r="P97" s="44"/>
      <c r="Q97" s="164"/>
      <c r="R97" s="44"/>
      <c r="S97" s="164"/>
      <c r="T97" s="44"/>
      <c r="U97" s="164"/>
      <c r="V97" s="44"/>
      <c r="W97" s="164"/>
      <c r="X97" s="44"/>
      <c r="Y97" s="164"/>
      <c r="Z97" s="44"/>
      <c r="AA97" s="164"/>
      <c r="AB97" s="44"/>
      <c r="AC97" s="164"/>
      <c r="AD97" s="44"/>
      <c r="AE97" s="164"/>
      <c r="AF97" s="44"/>
      <c r="AG97" s="164"/>
      <c r="AH97" s="44"/>
      <c r="AI97" s="164"/>
      <c r="AJ97" s="44"/>
      <c r="AK97" s="164"/>
      <c r="AL97" s="44"/>
      <c r="AM97" s="164"/>
      <c r="AN97" s="44"/>
    </row>
    <row r="98" spans="1:40" ht="12.75" customHeight="1" outlineLevel="1" x14ac:dyDescent="0.25">
      <c r="A98" s="54"/>
      <c r="B98" s="54" t="s">
        <v>22</v>
      </c>
      <c r="C98" s="55"/>
      <c r="D98" s="55"/>
      <c r="E98" s="168"/>
      <c r="F98" s="56"/>
      <c r="G98" s="168"/>
      <c r="H98" s="56"/>
      <c r="I98" s="168"/>
      <c r="J98" s="56"/>
      <c r="K98" s="168"/>
      <c r="L98" s="56"/>
      <c r="M98" s="168"/>
      <c r="N98" s="56"/>
      <c r="O98" s="168"/>
      <c r="P98" s="56"/>
      <c r="Q98" s="168"/>
      <c r="R98" s="56"/>
      <c r="S98" s="168"/>
      <c r="T98" s="56"/>
      <c r="U98" s="168"/>
      <c r="V98" s="56"/>
      <c r="W98" s="168"/>
      <c r="X98" s="56"/>
      <c r="Y98" s="168"/>
      <c r="Z98" s="56"/>
      <c r="AA98" s="169"/>
      <c r="AB98" s="56"/>
      <c r="AC98" s="169"/>
      <c r="AD98" s="56"/>
      <c r="AE98" s="169"/>
      <c r="AF98" s="56"/>
      <c r="AG98" s="169"/>
      <c r="AH98" s="56"/>
      <c r="AI98" s="169"/>
      <c r="AJ98" s="56"/>
      <c r="AK98" s="169"/>
      <c r="AL98" s="56"/>
      <c r="AM98" s="169"/>
      <c r="AN98" s="56"/>
    </row>
    <row r="99" spans="1:40" ht="12.75" customHeight="1" outlineLevel="1" x14ac:dyDescent="0.25">
      <c r="A99" s="55"/>
      <c r="B99" s="55" t="s">
        <v>45</v>
      </c>
      <c r="C99" s="55">
        <f>$C$78*$D$2-Info!I2-Info!J2</f>
        <v>1733879.2735000001</v>
      </c>
      <c r="D99" s="55">
        <f>+(C78*D2)/2-Info!J2</f>
        <v>866939.63675000006</v>
      </c>
      <c r="E99" s="169"/>
      <c r="F99" s="56">
        <v>23201.707999999999</v>
      </c>
      <c r="G99" s="169"/>
      <c r="H99" s="56">
        <v>80365.070999999996</v>
      </c>
      <c r="I99" s="169"/>
      <c r="J99" s="56">
        <v>256543.68200000003</v>
      </c>
      <c r="K99" s="169"/>
      <c r="L99" s="56">
        <v>389543.42800000001</v>
      </c>
      <c r="M99" s="169"/>
      <c r="N99" s="56">
        <v>582815.30300000019</v>
      </c>
      <c r="O99" s="169"/>
      <c r="P99" s="56">
        <v>753131.63000000024</v>
      </c>
      <c r="Q99" s="169"/>
      <c r="R99" s="56">
        <v>871390.55100000021</v>
      </c>
      <c r="S99" s="169"/>
      <c r="T99" s="56">
        <v>1089515.9489999998</v>
      </c>
      <c r="U99" s="169"/>
      <c r="V99" s="56">
        <f>+IF(V$78*$D$1&gt;$C$99,$C$99,V$78*$D$1)+IF(U9&gt;$B$4,-$D$99,0)</f>
        <v>1379972.4100000001</v>
      </c>
      <c r="W99" s="169"/>
      <c r="X99" s="56">
        <v>1688919.2180000003</v>
      </c>
      <c r="Y99" s="169"/>
      <c r="Z99" s="56">
        <f>+IF(Z$78*$D$1&gt;$C$99,$C$99,Z$78*$D$1)+IF(Y9&gt;$B$4,-$D$99,0)</f>
        <v>1733879.2735000001</v>
      </c>
      <c r="AA99" s="169"/>
      <c r="AB99" s="56">
        <f>+IF(AB$78*$D$1&gt;$C$99,$C$99,AB$78*$D$1)+IF(AA9&gt;$B$4,-$D$99,0)</f>
        <v>1733879.2735000001</v>
      </c>
      <c r="AC99" s="169"/>
      <c r="AD99" s="56">
        <f>+IF(AD$78*$D$1&gt;$C$99,$C$99,AD$78*$D$1)+IF(AC9&gt;$B$4,-$D$99,0)</f>
        <v>1733879.2735000001</v>
      </c>
      <c r="AE99" s="169"/>
      <c r="AF99" s="56">
        <f>+IF(AF$78*$D$1&gt;$C$99,$C$99,AF$78*$D$1)+IF(AE9&gt;$B$4,-$D$99,0)</f>
        <v>1733879.2735000001</v>
      </c>
      <c r="AG99" s="169"/>
      <c r="AH99" s="56">
        <f>+IF(AH$78*$D$1&gt;$C$99,$C$99,AH$78*$D$1)+IF(AG9&gt;$B$4,-$D$99,0)</f>
        <v>1733879.2735000001</v>
      </c>
      <c r="AI99" s="169"/>
      <c r="AJ99" s="56">
        <f>+IF(AJ$78*$D$1&gt;$C$99,$C$99,AJ$78*$D$1)+IF(AI9&gt;$B$4,-$D$99,0)</f>
        <v>1733879.2735000001</v>
      </c>
      <c r="AK99" s="169"/>
      <c r="AL99" s="56">
        <f>+IF(AL$78*$D$1&gt;$C$99,$C$99,AL$78*$D$1)+IF(AK9&gt;$B$4,-$D$99,0)</f>
        <v>1733879.2735000001</v>
      </c>
      <c r="AM99" s="169"/>
      <c r="AN99" s="56">
        <f>+IF(AN$78*$D$1&gt;$C$99,$C$99,AN$78*$D$1)+IF(AM9&gt;$B$4,-$D$99,0)</f>
        <v>866939.63675000006</v>
      </c>
    </row>
    <row r="100" spans="1:40" ht="12.75" customHeight="1" outlineLevel="1" x14ac:dyDescent="0.25">
      <c r="A100" s="55"/>
      <c r="B100" s="55" t="s">
        <v>48</v>
      </c>
      <c r="C100" s="55"/>
      <c r="D100" s="55"/>
      <c r="E100" s="169"/>
      <c r="F100" s="56">
        <v>208815.37199999997</v>
      </c>
      <c r="G100" s="169"/>
      <c r="H100" s="56">
        <v>723285.63899999997</v>
      </c>
      <c r="I100" s="169"/>
      <c r="J100" s="56">
        <v>2308893.1380000003</v>
      </c>
      <c r="K100" s="169"/>
      <c r="L100" s="56">
        <v>3505890.852</v>
      </c>
      <c r="M100" s="169"/>
      <c r="N100" s="56">
        <v>5245337.7270000009</v>
      </c>
      <c r="O100" s="169"/>
      <c r="P100" s="56">
        <v>6778184.6700000018</v>
      </c>
      <c r="Q100" s="169"/>
      <c r="R100" s="56">
        <v>7842514.9590000017</v>
      </c>
      <c r="S100" s="169"/>
      <c r="T100" s="56">
        <v>9805643.5409999993</v>
      </c>
      <c r="U100" s="169"/>
      <c r="V100" s="56">
        <f>+V78-V99</f>
        <v>12419751.689999999</v>
      </c>
      <c r="W100" s="169"/>
      <c r="X100" s="56">
        <v>15200272.962000003</v>
      </c>
      <c r="Y100" s="169"/>
      <c r="Z100" s="56">
        <f>+Z78-Z99</f>
        <v>18538165.236499999</v>
      </c>
      <c r="AA100" s="169"/>
      <c r="AB100" s="56">
        <f>+AB78-AB99</f>
        <v>21868780.67815515</v>
      </c>
      <c r="AC100" s="169"/>
      <c r="AD100" s="56">
        <f>+AD78-AD99</f>
        <v>25101183.084975932</v>
      </c>
      <c r="AE100" s="169"/>
      <c r="AF100" s="56">
        <f>+AF78-AF99</f>
        <v>28064091.957205459</v>
      </c>
      <c r="AG100" s="169"/>
      <c r="AH100" s="56">
        <f>+AH78-AH99</f>
        <v>30646786.753809314</v>
      </c>
      <c r="AI100" s="169"/>
      <c r="AJ100" s="56">
        <f>+AJ78-AJ99</f>
        <v>32313845.546499994</v>
      </c>
      <c r="AK100" s="169"/>
      <c r="AL100" s="56">
        <f>+AL78-AL99</f>
        <v>32943706.1965</v>
      </c>
      <c r="AM100" s="169"/>
      <c r="AN100" s="56">
        <f>+AN78-AN99</f>
        <v>33810645.833250001</v>
      </c>
    </row>
    <row r="101" spans="1:40" ht="12.75" customHeight="1" outlineLevel="1" x14ac:dyDescent="0.25">
      <c r="A101" s="55"/>
      <c r="B101" s="55" t="s">
        <v>33</v>
      </c>
      <c r="C101" s="55"/>
      <c r="D101" s="55"/>
      <c r="E101" s="169"/>
      <c r="F101" s="56" t="e">
        <v>#REF!</v>
      </c>
      <c r="G101" s="169"/>
      <c r="H101" s="56" t="e">
        <v>#REF!</v>
      </c>
      <c r="I101" s="169"/>
      <c r="J101" s="56" t="e">
        <v>#REF!</v>
      </c>
      <c r="K101" s="169"/>
      <c r="L101" s="56" t="e">
        <v>#REF!</v>
      </c>
      <c r="M101" s="169"/>
      <c r="N101" s="56" t="e">
        <v>#REF!</v>
      </c>
      <c r="O101" s="169"/>
      <c r="P101" s="56" t="e">
        <v>#REF!</v>
      </c>
      <c r="Q101" s="169"/>
      <c r="R101" s="56" t="e">
        <v>#REF!</v>
      </c>
      <c r="S101" s="169"/>
      <c r="T101" s="56" t="e">
        <v>#REF!</v>
      </c>
      <c r="U101" s="169"/>
      <c r="V101" s="56" t="e">
        <f>+#REF!*#REF!</f>
        <v>#REF!</v>
      </c>
      <c r="W101" s="169"/>
      <c r="X101" s="56" t="e">
        <v>#REF!</v>
      </c>
      <c r="Y101" s="169"/>
      <c r="Z101" s="56" t="e">
        <f>+#REF!*#REF!</f>
        <v>#REF!</v>
      </c>
      <c r="AA101" s="169"/>
      <c r="AB101" s="56" t="e">
        <f>+#REF!*#REF!</f>
        <v>#REF!</v>
      </c>
      <c r="AC101" s="169"/>
      <c r="AD101" s="56" t="e">
        <f>+#REF!*#REF!</f>
        <v>#REF!</v>
      </c>
      <c r="AE101" s="169"/>
      <c r="AF101" s="56" t="e">
        <f>+#REF!*#REF!</f>
        <v>#REF!</v>
      </c>
      <c r="AG101" s="169"/>
      <c r="AH101" s="56" t="e">
        <f>+#REF!*#REF!</f>
        <v>#REF!</v>
      </c>
      <c r="AI101" s="169"/>
      <c r="AJ101" s="56" t="e">
        <f>+#REF!*#REF!</f>
        <v>#REF!</v>
      </c>
      <c r="AK101" s="169"/>
      <c r="AL101" s="56" t="e">
        <f>+#REF!*#REF!</f>
        <v>#REF!</v>
      </c>
      <c r="AM101" s="169"/>
      <c r="AN101" s="56" t="e">
        <f>+#REF!*#REF!</f>
        <v>#REF!</v>
      </c>
    </row>
    <row r="102" spans="1:40" ht="12.75" customHeight="1" outlineLevel="1" x14ac:dyDescent="0.25">
      <c r="A102" s="55"/>
      <c r="B102" s="55" t="s">
        <v>46</v>
      </c>
      <c r="C102" s="55" t="e">
        <f>+(#REF!*0.65)*0.05</f>
        <v>#REF!</v>
      </c>
      <c r="D102" s="55" t="e">
        <f>+C102/2</f>
        <v>#REF!</v>
      </c>
      <c r="E102" s="169"/>
      <c r="F102" s="56" t="e">
        <v>#REF!</v>
      </c>
      <c r="G102" s="169"/>
      <c r="H102" s="56" t="e">
        <v>#REF!</v>
      </c>
      <c r="I102" s="169"/>
      <c r="J102" s="56" t="e">
        <v>#REF!</v>
      </c>
      <c r="K102" s="169"/>
      <c r="L102" s="56" t="e">
        <v>#REF!</v>
      </c>
      <c r="M102" s="169"/>
      <c r="N102" s="56" t="e">
        <v>#REF!</v>
      </c>
      <c r="O102" s="169"/>
      <c r="P102" s="56" t="e">
        <v>#REF!</v>
      </c>
      <c r="Q102" s="169"/>
      <c r="R102" s="56" t="e">
        <v>#REF!</v>
      </c>
      <c r="S102" s="169"/>
      <c r="T102" s="56" t="e">
        <v>#REF!</v>
      </c>
      <c r="U102" s="169"/>
      <c r="V102" s="56" t="e">
        <f>+IF((#REF!*0.65)*0.1&gt;$C$102,$C$102,(#REF!*0.65)*0.1)</f>
        <v>#REF!</v>
      </c>
      <c r="W102" s="169"/>
      <c r="X102" s="56" t="e">
        <v>#REF!</v>
      </c>
      <c r="Y102" s="169"/>
      <c r="Z102" s="56" t="e">
        <f>+IF((#REF!*0.65)*0.1&gt;$C$102,$C$102,(#REF!*0.65)*0.1)</f>
        <v>#REF!</v>
      </c>
      <c r="AA102" s="169"/>
      <c r="AB102" s="56" t="e">
        <f>+IF((#REF!*0.65)*0.1&gt;$C$102,$C$102,(#REF!*0.65)*0.1)</f>
        <v>#REF!</v>
      </c>
      <c r="AC102" s="169"/>
      <c r="AD102" s="56" t="e">
        <f>+IF((#REF!*0.65)*0.1&gt;$C$102,$C$102,(#REF!*0.65)*0.1)</f>
        <v>#REF!</v>
      </c>
      <c r="AE102" s="169"/>
      <c r="AF102" s="56" t="e">
        <f>+IF((#REF!*0.65)*0.1&gt;$C$102,$C$102,(#REF!*0.65)*0.1)</f>
        <v>#REF!</v>
      </c>
      <c r="AG102" s="169"/>
      <c r="AH102" s="56" t="e">
        <f>+IF((#REF!*0.65)*0.1&gt;$C$102,$C$102,(#REF!*0.65)*0.1)</f>
        <v>#REF!</v>
      </c>
      <c r="AI102" s="169"/>
      <c r="AJ102" s="56" t="e">
        <f>+IF((#REF!*0.65)*0.1&gt;$C$102,$C$102,(#REF!*0.65)*0.1)</f>
        <v>#REF!</v>
      </c>
      <c r="AK102" s="169"/>
      <c r="AL102" s="56" t="e">
        <f>+IF((#REF!*0.65)*0.1&gt;$C$102,$C$102,(#REF!*0.65)*0.1)</f>
        <v>#REF!</v>
      </c>
      <c r="AM102" s="169"/>
      <c r="AN102" s="56" t="e">
        <f>+IF((#REF!*0.65)*0.1&gt;$C$102,$C$102,(#REF!*0.65)*0.1)</f>
        <v>#REF!</v>
      </c>
    </row>
    <row r="103" spans="1:40" ht="12.75" customHeight="1" outlineLevel="1" x14ac:dyDescent="0.25">
      <c r="A103" s="55"/>
      <c r="B103" s="55" t="s">
        <v>47</v>
      </c>
      <c r="C103" s="55"/>
      <c r="D103" s="55"/>
      <c r="E103" s="169" t="e">
        <v>#REF!</v>
      </c>
      <c r="F103" s="56" t="e">
        <v>#REF!</v>
      </c>
      <c r="G103" s="169" t="e">
        <v>#REF!</v>
      </c>
      <c r="H103" s="56" t="e">
        <v>#REF!</v>
      </c>
      <c r="I103" s="169" t="e">
        <v>#REF!</v>
      </c>
      <c r="J103" s="56" t="e">
        <v>#REF!</v>
      </c>
      <c r="K103" s="169" t="e">
        <v>#REF!</v>
      </c>
      <c r="L103" s="56" t="e">
        <v>#REF!</v>
      </c>
      <c r="M103" s="169" t="e">
        <v>#REF!</v>
      </c>
      <c r="N103" s="56" t="e">
        <v>#REF!</v>
      </c>
      <c r="O103" s="169" t="e">
        <v>#REF!</v>
      </c>
      <c r="P103" s="56" t="e">
        <v>#REF!</v>
      </c>
      <c r="Q103" s="169" t="e">
        <v>#REF!</v>
      </c>
      <c r="R103" s="56" t="e">
        <v>#REF!</v>
      </c>
      <c r="S103" s="169" t="e">
        <v>#REF!</v>
      </c>
      <c r="T103" s="56" t="e">
        <v>#REF!</v>
      </c>
      <c r="U103" s="169" t="e">
        <f>+V103/V100</f>
        <v>#REF!</v>
      </c>
      <c r="V103" s="56" t="e">
        <f>+#REF!-V101-V102</f>
        <v>#REF!</v>
      </c>
      <c r="W103" s="169" t="e">
        <v>#REF!</v>
      </c>
      <c r="X103" s="56" t="e">
        <v>#REF!</v>
      </c>
      <c r="Y103" s="169" t="e">
        <f>+Z103/Z100</f>
        <v>#REF!</v>
      </c>
      <c r="Z103" s="56" t="e">
        <f>+#REF!-Z101-Z102</f>
        <v>#REF!</v>
      </c>
      <c r="AA103" s="169" t="e">
        <f>+AB103/AB100</f>
        <v>#REF!</v>
      </c>
      <c r="AB103" s="56" t="e">
        <f>+#REF!-AB101-AB102</f>
        <v>#REF!</v>
      </c>
      <c r="AC103" s="169" t="e">
        <f>+AD103/AD100</f>
        <v>#REF!</v>
      </c>
      <c r="AD103" s="56" t="e">
        <f>+#REF!-AD101-AD102</f>
        <v>#REF!</v>
      </c>
      <c r="AE103" s="169" t="e">
        <f>+AF103/AF100</f>
        <v>#REF!</v>
      </c>
      <c r="AF103" s="56" t="e">
        <f>+#REF!-AF101-AF102</f>
        <v>#REF!</v>
      </c>
      <c r="AG103" s="169" t="e">
        <f>+AH103/AH100</f>
        <v>#REF!</v>
      </c>
      <c r="AH103" s="56" t="e">
        <f>+#REF!-AH101-AH102</f>
        <v>#REF!</v>
      </c>
      <c r="AI103" s="169" t="e">
        <f>+AJ103/AJ100</f>
        <v>#REF!</v>
      </c>
      <c r="AJ103" s="56" t="e">
        <f>+#REF!-AJ101-AJ102</f>
        <v>#REF!</v>
      </c>
      <c r="AK103" s="169" t="e">
        <f>+AL103/AL100</f>
        <v>#REF!</v>
      </c>
      <c r="AL103" s="56" t="e">
        <f>+#REF!-AL101-AL102</f>
        <v>#REF!</v>
      </c>
      <c r="AM103" s="169" t="e">
        <f>+AN103/AN100</f>
        <v>#REF!</v>
      </c>
      <c r="AN103" s="56" t="e">
        <f>+#REF!-AN101-AN102</f>
        <v>#REF!</v>
      </c>
    </row>
    <row r="104" spans="1:40" ht="12.75" customHeight="1" outlineLevel="1" x14ac:dyDescent="0.25">
      <c r="A104" s="55"/>
      <c r="B104" s="55"/>
      <c r="C104" s="55"/>
      <c r="D104" s="55"/>
      <c r="E104" s="169"/>
      <c r="F104" s="56"/>
      <c r="G104" s="169"/>
      <c r="H104" s="56"/>
      <c r="I104" s="169"/>
      <c r="J104" s="56"/>
      <c r="K104" s="169"/>
      <c r="L104" s="56"/>
      <c r="M104" s="169"/>
      <c r="N104" s="56"/>
      <c r="O104" s="169"/>
      <c r="P104" s="56"/>
      <c r="Q104" s="169"/>
      <c r="R104" s="56"/>
      <c r="S104" s="169"/>
      <c r="T104" s="56"/>
      <c r="U104" s="169"/>
      <c r="V104" s="56"/>
      <c r="W104" s="169"/>
      <c r="X104" s="56"/>
      <c r="Y104" s="169"/>
      <c r="Z104" s="56"/>
      <c r="AA104" s="169"/>
      <c r="AB104" s="56"/>
      <c r="AC104" s="169"/>
      <c r="AD104" s="56"/>
      <c r="AE104" s="169"/>
      <c r="AF104" s="56"/>
      <c r="AG104" s="169"/>
      <c r="AH104" s="56"/>
      <c r="AI104" s="169"/>
      <c r="AJ104" s="56"/>
      <c r="AK104" s="169"/>
      <c r="AL104" s="56"/>
      <c r="AM104" s="169"/>
      <c r="AN104" s="56"/>
    </row>
    <row r="105" spans="1:40" ht="12.75" customHeight="1" outlineLevel="1" x14ac:dyDescent="0.25">
      <c r="A105" s="55"/>
      <c r="B105" s="55" t="s">
        <v>42</v>
      </c>
      <c r="C105" s="55"/>
      <c r="D105" s="55"/>
      <c r="E105" s="169"/>
      <c r="F105" s="56">
        <v>208815.37199999997</v>
      </c>
      <c r="G105" s="169"/>
      <c r="H105" s="56">
        <v>514470.26699999999</v>
      </c>
      <c r="I105" s="169"/>
      <c r="J105" s="56">
        <v>1585607.4990000003</v>
      </c>
      <c r="K105" s="169"/>
      <c r="L105" s="56">
        <v>1196997.7139999997</v>
      </c>
      <c r="M105" s="169"/>
      <c r="N105" s="56">
        <v>1739446.8750000009</v>
      </c>
      <c r="O105" s="169"/>
      <c r="P105" s="56">
        <v>1532846.9430000009</v>
      </c>
      <c r="Q105" s="169"/>
      <c r="R105" s="56">
        <v>1064330.2889999999</v>
      </c>
      <c r="S105" s="169"/>
      <c r="T105" s="56">
        <v>1963128.5819999976</v>
      </c>
      <c r="U105" s="169"/>
      <c r="V105" s="56">
        <f>+V100-T100</f>
        <v>2614108.1490000002</v>
      </c>
      <c r="W105" s="169"/>
      <c r="X105" s="56">
        <v>2780521.2720000036</v>
      </c>
      <c r="Y105" s="169"/>
      <c r="Z105" s="56">
        <f>+Z100-X100</f>
        <v>3337892.2744999956</v>
      </c>
      <c r="AA105" s="169"/>
      <c r="AB105" s="56">
        <f>+AB100-Z100</f>
        <v>3330615.4416551515</v>
      </c>
      <c r="AC105" s="169"/>
      <c r="AD105" s="56">
        <f>+AD100-AB100</f>
        <v>3232402.4068207815</v>
      </c>
      <c r="AE105" s="169"/>
      <c r="AF105" s="56">
        <f>+AF100-AD100</f>
        <v>2962908.8722295277</v>
      </c>
      <c r="AG105" s="169"/>
      <c r="AH105" s="56">
        <f>+AH100-AF100</f>
        <v>2582694.7966038547</v>
      </c>
      <c r="AI105" s="169"/>
      <c r="AJ105" s="56">
        <f>+AJ100-AH100</f>
        <v>1667058.7926906794</v>
      </c>
      <c r="AK105" s="169"/>
      <c r="AL105" s="56">
        <f>+AL100-AJ100</f>
        <v>629860.65000000596</v>
      </c>
      <c r="AM105" s="169"/>
      <c r="AN105" s="56">
        <f>+AN100-AL100</f>
        <v>866939.63675000146</v>
      </c>
    </row>
    <row r="106" spans="1:40" ht="12.75" customHeight="1" outlineLevel="1" x14ac:dyDescent="0.25">
      <c r="A106" s="55"/>
      <c r="B106" s="55" t="s">
        <v>43</v>
      </c>
      <c r="C106" s="55"/>
      <c r="D106" s="55"/>
      <c r="E106" s="169" t="e">
        <v>#REF!</v>
      </c>
      <c r="F106" s="56" t="e">
        <v>#REF!</v>
      </c>
      <c r="G106" s="169" t="e">
        <v>#REF!</v>
      </c>
      <c r="H106" s="56" t="e">
        <v>#REF!</v>
      </c>
      <c r="I106" s="169" t="e">
        <v>#REF!</v>
      </c>
      <c r="J106" s="56" t="e">
        <v>#REF!</v>
      </c>
      <c r="K106" s="169" t="e">
        <v>#REF!</v>
      </c>
      <c r="L106" s="56" t="e">
        <v>#REF!</v>
      </c>
      <c r="M106" s="169" t="e">
        <v>#REF!</v>
      </c>
      <c r="N106" s="56" t="e">
        <v>#REF!</v>
      </c>
      <c r="O106" s="169" t="e">
        <v>#REF!</v>
      </c>
      <c r="P106" s="56" t="e">
        <v>#REF!</v>
      </c>
      <c r="Q106" s="169" t="e">
        <v>#REF!</v>
      </c>
      <c r="R106" s="56" t="e">
        <v>#REF!</v>
      </c>
      <c r="S106" s="169" t="e">
        <v>#REF!</v>
      </c>
      <c r="T106" s="56" t="e">
        <v>#REF!</v>
      </c>
      <c r="U106" s="169" t="e">
        <f>+V106/V105</f>
        <v>#REF!</v>
      </c>
      <c r="V106" s="56" t="e">
        <f>+V103-T103</f>
        <v>#REF!</v>
      </c>
      <c r="W106" s="169" t="e">
        <v>#REF!</v>
      </c>
      <c r="X106" s="56" t="e">
        <v>#REF!</v>
      </c>
      <c r="Y106" s="169" t="e">
        <f>+Z106/Z105</f>
        <v>#REF!</v>
      </c>
      <c r="Z106" s="56" t="e">
        <f>+Z103-X103</f>
        <v>#REF!</v>
      </c>
      <c r="AA106" s="169" t="e">
        <f>+AB106/AB105</f>
        <v>#REF!</v>
      </c>
      <c r="AB106" s="56" t="e">
        <f>+AB103-Z103</f>
        <v>#REF!</v>
      </c>
      <c r="AC106" s="169" t="e">
        <f>+AD106/AD105</f>
        <v>#REF!</v>
      </c>
      <c r="AD106" s="56" t="e">
        <f>+AD103-AB103</f>
        <v>#REF!</v>
      </c>
      <c r="AE106" s="169" t="e">
        <f>+AF106/AF105</f>
        <v>#REF!</v>
      </c>
      <c r="AF106" s="56" t="e">
        <f>+AF103-AD103</f>
        <v>#REF!</v>
      </c>
      <c r="AG106" s="169" t="e">
        <f>+AH106/AH105</f>
        <v>#REF!</v>
      </c>
      <c r="AH106" s="56" t="e">
        <f>+AH103-AF103</f>
        <v>#REF!</v>
      </c>
      <c r="AI106" s="169" t="e">
        <f>+AJ106/AJ105</f>
        <v>#REF!</v>
      </c>
      <c r="AJ106" s="56" t="e">
        <f>+AJ103-AH103</f>
        <v>#REF!</v>
      </c>
      <c r="AK106" s="169" t="e">
        <f>+AL106/AL105</f>
        <v>#REF!</v>
      </c>
      <c r="AL106" s="56" t="e">
        <f>+AL103-AJ103</f>
        <v>#REF!</v>
      </c>
      <c r="AM106" s="169" t="e">
        <f>+AN106/AN105</f>
        <v>#REF!</v>
      </c>
      <c r="AN106" s="56" t="e">
        <f>+AN103-AL103</f>
        <v>#REF!</v>
      </c>
    </row>
    <row r="107" spans="1:40" ht="12.75" customHeight="1" outlineLevel="1" x14ac:dyDescent="0.25">
      <c r="A107" s="55"/>
      <c r="B107" s="55"/>
      <c r="C107" s="55"/>
      <c r="D107" s="55"/>
      <c r="E107" s="169"/>
      <c r="F107" s="56"/>
      <c r="G107" s="169"/>
      <c r="H107" s="56"/>
      <c r="I107" s="169"/>
      <c r="J107" s="56"/>
      <c r="K107" s="169"/>
      <c r="L107" s="56"/>
      <c r="M107" s="169"/>
      <c r="N107" s="56"/>
      <c r="O107" s="169"/>
      <c r="P107" s="56"/>
      <c r="Q107" s="169"/>
      <c r="R107" s="56"/>
      <c r="S107" s="169"/>
      <c r="T107" s="56"/>
      <c r="U107" s="169"/>
      <c r="V107" s="56"/>
      <c r="W107" s="169"/>
      <c r="X107" s="56"/>
      <c r="Y107" s="169"/>
      <c r="Z107" s="56"/>
      <c r="AA107" s="169"/>
      <c r="AB107" s="56"/>
      <c r="AC107" s="169"/>
      <c r="AD107" s="56"/>
      <c r="AE107" s="169"/>
      <c r="AF107" s="56"/>
      <c r="AG107" s="169"/>
      <c r="AH107" s="56"/>
      <c r="AI107" s="169"/>
      <c r="AJ107" s="56"/>
      <c r="AK107" s="169"/>
      <c r="AL107" s="56"/>
      <c r="AM107" s="169"/>
      <c r="AN107" s="56"/>
    </row>
    <row r="108" spans="1:40" ht="12.75" customHeight="1" outlineLevel="1" x14ac:dyDescent="0.25">
      <c r="A108" s="55"/>
      <c r="B108" s="55" t="s">
        <v>40</v>
      </c>
      <c r="C108" s="55"/>
      <c r="D108" s="55"/>
      <c r="E108" s="169">
        <v>1</v>
      </c>
      <c r="F108" s="56">
        <v>208815.37199999997</v>
      </c>
      <c r="G108" s="169">
        <v>1.0003175363290722</v>
      </c>
      <c r="H108" s="56">
        <v>514633.63</v>
      </c>
      <c r="I108" s="169">
        <v>1.000112645153427</v>
      </c>
      <c r="J108" s="56">
        <v>1585786.1100000003</v>
      </c>
      <c r="K108" s="169">
        <v>0.99999978780243504</v>
      </c>
      <c r="L108" s="56">
        <v>1196997.4599999995</v>
      </c>
      <c r="M108" s="169">
        <v>1.000156299685784</v>
      </c>
      <c r="N108" s="56">
        <v>1739718.7500000014</v>
      </c>
      <c r="O108" s="169">
        <v>0.99538398596656286</v>
      </c>
      <c r="P108" s="56">
        <v>1525771.3000000017</v>
      </c>
      <c r="Q108" s="169">
        <v>1.0002432712877536</v>
      </c>
      <c r="R108" s="56">
        <v>1064589.21</v>
      </c>
      <c r="S108" s="169">
        <v>0.65303924142040815</v>
      </c>
      <c r="T108" s="56">
        <v>1282000</v>
      </c>
      <c r="U108" s="169">
        <f>+V108/V105</f>
        <v>0.76890468390487388</v>
      </c>
      <c r="V108" s="56">
        <f>+V91-V109</f>
        <v>2010000</v>
      </c>
      <c r="W108" s="169">
        <v>0.96780414057555053</v>
      </c>
      <c r="X108" s="56">
        <v>2691000</v>
      </c>
      <c r="Y108" s="169">
        <f>+Z108/Z105</f>
        <v>0.97516628228740165</v>
      </c>
      <c r="Z108" s="56">
        <f t="shared" ref="Z108:AN108" si="19">+Z91-Z109</f>
        <v>3255000</v>
      </c>
      <c r="AA108" s="169">
        <f>+AB108/AB105</f>
        <v>1.0508568345136455</v>
      </c>
      <c r="AB108" s="56">
        <f t="shared" si="19"/>
        <v>3500000</v>
      </c>
      <c r="AC108" s="169">
        <f>+AD108/AD105</f>
        <v>1.0209124931464533</v>
      </c>
      <c r="AD108" s="56">
        <f t="shared" si="19"/>
        <v>3300000</v>
      </c>
      <c r="AE108" s="169">
        <f>+AF108/AF105</f>
        <v>1.0800197164322729</v>
      </c>
      <c r="AF108" s="56">
        <f t="shared" si="19"/>
        <v>3200000</v>
      </c>
      <c r="AG108" s="169">
        <f>+AH108/AH105</f>
        <v>0.92926194885896252</v>
      </c>
      <c r="AH108" s="56">
        <f t="shared" si="19"/>
        <v>2400000</v>
      </c>
      <c r="AI108" s="169">
        <f>+AJ108/AJ105</f>
        <v>1.4396612828071487</v>
      </c>
      <c r="AJ108" s="56">
        <f t="shared" si="19"/>
        <v>2400000</v>
      </c>
      <c r="AK108" s="169">
        <f>+AL108/AL105</f>
        <v>1.382929589267061</v>
      </c>
      <c r="AL108" s="56">
        <f t="shared" si="19"/>
        <v>871052.92999999225</v>
      </c>
      <c r="AM108" s="169">
        <f>+AN108/AN105</f>
        <v>1.0000696279734362</v>
      </c>
      <c r="AN108" s="56">
        <f t="shared" si="19"/>
        <v>867000</v>
      </c>
    </row>
    <row r="109" spans="1:40" ht="12.75" customHeight="1" outlineLevel="1" x14ac:dyDescent="0.25">
      <c r="A109" s="55"/>
      <c r="B109" s="55" t="s">
        <v>41</v>
      </c>
      <c r="C109" s="55">
        <f>+C99-SUM(E109:Z109)</f>
        <v>1677.5655000000261</v>
      </c>
      <c r="D109" s="55"/>
      <c r="E109" s="169"/>
      <c r="F109" s="56">
        <v>23201.707999999999</v>
      </c>
      <c r="G109" s="169"/>
      <c r="H109" s="56">
        <v>57000</v>
      </c>
      <c r="I109" s="169"/>
      <c r="J109" s="56">
        <v>176000</v>
      </c>
      <c r="K109" s="169"/>
      <c r="L109" s="56">
        <v>133000</v>
      </c>
      <c r="M109" s="169"/>
      <c r="N109" s="56">
        <v>193000</v>
      </c>
      <c r="O109" s="169"/>
      <c r="P109" s="56">
        <v>170000</v>
      </c>
      <c r="Q109" s="169"/>
      <c r="R109" s="56">
        <v>118000</v>
      </c>
      <c r="S109" s="169"/>
      <c r="T109" s="56">
        <v>218000</v>
      </c>
      <c r="U109" s="169"/>
      <c r="V109" s="56">
        <f>+ROUND(V99-T99,-3)</f>
        <v>290000</v>
      </c>
      <c r="W109" s="169"/>
      <c r="X109" s="56">
        <v>309000</v>
      </c>
      <c r="Y109" s="169"/>
      <c r="Z109" s="56">
        <f>+ROUND(Z99-X99,-3)</f>
        <v>45000</v>
      </c>
      <c r="AA109" s="169"/>
      <c r="AB109" s="56">
        <f>+ROUND(AB99-Z99,-3)</f>
        <v>0</v>
      </c>
      <c r="AC109" s="169"/>
      <c r="AD109" s="56">
        <f>+ROUND(AD99-AB99,-3)</f>
        <v>0</v>
      </c>
      <c r="AE109" s="169"/>
      <c r="AF109" s="56">
        <f>+ROUND(AF99-AD99,-3)</f>
        <v>0</v>
      </c>
      <c r="AG109" s="169"/>
      <c r="AH109" s="56">
        <f>+ROUND(AH99-AF99,-3)</f>
        <v>0</v>
      </c>
      <c r="AI109" s="169"/>
      <c r="AJ109" s="56">
        <f>+ROUND(AJ99-AH99,-3)</f>
        <v>0</v>
      </c>
      <c r="AK109" s="169"/>
      <c r="AL109" s="56">
        <f>+ROUND(AL99-AJ99,-3)</f>
        <v>0</v>
      </c>
      <c r="AM109" s="169"/>
      <c r="AN109" s="56">
        <f>+ROUND(AN99-AL99,-3)</f>
        <v>-867000</v>
      </c>
    </row>
    <row r="110" spans="1:40" ht="12.75" customHeight="1" outlineLevel="1" x14ac:dyDescent="0.25">
      <c r="A110" s="55"/>
      <c r="B110" s="55" t="s">
        <v>8</v>
      </c>
      <c r="C110" s="55"/>
      <c r="D110" s="55"/>
      <c r="E110" s="169" t="e">
        <v>#REF!</v>
      </c>
      <c r="F110" s="56" t="e">
        <v>#REF!</v>
      </c>
      <c r="G110" s="169" t="e">
        <v>#REF!</v>
      </c>
      <c r="H110" s="56" t="e">
        <v>#REF!</v>
      </c>
      <c r="I110" s="169" t="e">
        <v>#REF!</v>
      </c>
      <c r="J110" s="56" t="e">
        <v>#REF!</v>
      </c>
      <c r="K110" s="169" t="e">
        <v>#REF!</v>
      </c>
      <c r="L110" s="56" t="e">
        <v>#REF!</v>
      </c>
      <c r="M110" s="169" t="e">
        <v>#REF!</v>
      </c>
      <c r="N110" s="56" t="e">
        <v>#REF!</v>
      </c>
      <c r="O110" s="169" t="e">
        <v>#REF!</v>
      </c>
      <c r="P110" s="56" t="e">
        <v>#REF!</v>
      </c>
      <c r="Q110" s="169" t="e">
        <v>#REF!</v>
      </c>
      <c r="R110" s="56" t="e">
        <v>#REF!</v>
      </c>
      <c r="S110" s="169" t="e">
        <v>#REF!</v>
      </c>
      <c r="T110" s="56" t="e">
        <v>#REF!</v>
      </c>
      <c r="U110" s="169" t="e">
        <f>+V110/V108</f>
        <v>#REF!</v>
      </c>
      <c r="V110" s="56" t="e">
        <f>ROUND(V106*U108,-4)</f>
        <v>#REF!</v>
      </c>
      <c r="W110" s="169" t="e">
        <v>#REF!</v>
      </c>
      <c r="X110" s="56" t="e">
        <v>#REF!</v>
      </c>
      <c r="Y110" s="169" t="e">
        <f>+Z110/Z108</f>
        <v>#REF!</v>
      </c>
      <c r="Z110" s="56" t="e">
        <f>ROUND(Z106*Y108,-4)</f>
        <v>#REF!</v>
      </c>
      <c r="AA110" s="169" t="e">
        <f>+AB110/AB108</f>
        <v>#REF!</v>
      </c>
      <c r="AB110" s="56" t="e">
        <f>ROUND(AB106*AA108,-4)</f>
        <v>#REF!</v>
      </c>
      <c r="AC110" s="169" t="e">
        <f>+AD110/AD108</f>
        <v>#REF!</v>
      </c>
      <c r="AD110" s="56" t="e">
        <f>ROUND(AD106*AC108,-4)</f>
        <v>#REF!</v>
      </c>
      <c r="AE110" s="169" t="e">
        <f>+AF110/AF108</f>
        <v>#REF!</v>
      </c>
      <c r="AF110" s="56" t="e">
        <f>ROUND(AF106*AE108,-4)</f>
        <v>#REF!</v>
      </c>
      <c r="AG110" s="169" t="e">
        <f>+AH110/AH108</f>
        <v>#REF!</v>
      </c>
      <c r="AH110" s="56" t="e">
        <f>ROUND(AH106*AG108,-4)</f>
        <v>#REF!</v>
      </c>
      <c r="AI110" s="169" t="e">
        <f>+AJ110/AJ108</f>
        <v>#REF!</v>
      </c>
      <c r="AJ110" s="56" t="e">
        <f>ROUND(AJ106*AI108,-4)</f>
        <v>#REF!</v>
      </c>
      <c r="AK110" s="169" t="e">
        <f>+AL110/AL108</f>
        <v>#REF!</v>
      </c>
      <c r="AL110" s="56" t="e">
        <f>ROUND(AL106*AK108,-4)</f>
        <v>#REF!</v>
      </c>
      <c r="AM110" s="169" t="e">
        <f>+AN110/AN108</f>
        <v>#REF!</v>
      </c>
      <c r="AN110" s="56" t="e">
        <f>ROUND(AN106*AM108,-4)</f>
        <v>#REF!</v>
      </c>
    </row>
    <row r="111" spans="1:40" ht="12.75" customHeight="1" outlineLevel="1" x14ac:dyDescent="0.25">
      <c r="A111" s="55"/>
      <c r="B111" s="55"/>
      <c r="C111" s="55"/>
      <c r="D111" s="55"/>
      <c r="E111" s="169"/>
      <c r="F111" s="56"/>
      <c r="G111" s="169"/>
      <c r="H111" s="56"/>
      <c r="I111" s="169"/>
      <c r="J111" s="56"/>
      <c r="K111" s="169"/>
      <c r="L111" s="56"/>
      <c r="M111" s="169"/>
      <c r="N111" s="56"/>
      <c r="O111" s="169"/>
      <c r="P111" s="56"/>
      <c r="Q111" s="169"/>
      <c r="R111" s="56"/>
      <c r="S111" s="169"/>
      <c r="T111" s="56"/>
      <c r="U111" s="169"/>
      <c r="V111" s="56"/>
      <c r="W111" s="169"/>
      <c r="X111" s="56"/>
      <c r="Y111" s="169"/>
      <c r="Z111" s="56"/>
      <c r="AA111" s="169"/>
      <c r="AB111" s="56"/>
      <c r="AC111" s="169"/>
      <c r="AD111" s="56"/>
      <c r="AE111" s="169"/>
      <c r="AF111" s="56"/>
      <c r="AG111" s="169"/>
      <c r="AH111" s="56"/>
      <c r="AI111" s="169"/>
      <c r="AJ111" s="56"/>
      <c r="AK111" s="169"/>
      <c r="AL111" s="56"/>
      <c r="AM111" s="169"/>
      <c r="AN111" s="56"/>
    </row>
    <row r="112" spans="1:40" ht="15" customHeight="1" outlineLevel="1" x14ac:dyDescent="0.25"/>
    <row r="113" ht="15" customHeight="1" outlineLevel="1" x14ac:dyDescent="0.25"/>
  </sheetData>
  <sheetProtection formatCells="0"/>
  <protectedRanges>
    <protectedRange sqref="D4" name="Project Duration"/>
    <protectedRange sqref="B7" name="Range38_1"/>
    <protectedRange sqref="C8:D8" name="Range37_1"/>
    <protectedRange sqref="M78:M79 K78:K79 I78:I79 E99 I99 K99 M99 O99 Q99 S99 E78:E79 G78:G79 G99 U99 W99 Y99 Y78:Y79 W78:W79 U78:U79 S78:S79 Q78:Q79 O78:O79 AA99 AC99 AE99 AG99 AI99 AK99 AM99 AK78:AK79 AM78:AM79 AA78:AA79 AC78:AC79 AE78:AE79 AG78:AG79 AI78:AI79" name="Range16_1"/>
    <protectedRange sqref="B76:D76 K77 A99:D99 M77 O77 Q77 S77 U77 W77 Y77 G77 I77 C74:D74 B77:E77 AA77 AC77 AE77 AG77 AI77 AK77 AM77 B78:D81 B69:D69 B71:D71 B72:B74" name="Range15_1"/>
    <protectedRange sqref="R11 G9:G10 I9:I10 K9:K10 M9:M10 O9:O10 Q9:Q10 S9:S10 U9:U10 W9:W10 Y9:Y10 T11 V11 X11 Z11 L11 H11 J11 N11 P11 E9:E10 F11 AA9:AA10 AC9:AC10 AE9:AE10 AG9:AG10 AI9:AI10 AK9:AK10 AM9:AM10 AL11 AN11 AB11 AD11 AF11 AH11 AJ11" name="Months_1"/>
    <protectedRange sqref="C8:D8" name="Project information_1"/>
    <protectedRange sqref="B7:AN7" name="Notes and Comments_1"/>
    <protectedRange sqref="B69 B71:B74" name="Trade List_1"/>
    <protectedRange sqref="C74:D74 C69:D69 C71:D71" name="Trade Amount_1"/>
    <protectedRange sqref="E80:AN80" name="Previous month projected turnover_1"/>
    <protectedRange sqref="C70:D70 B12 B75:D75 C72:D73 C12:D68" name="Range15_2_2"/>
    <protectedRange sqref="B75 B12" name="Trade List_2_2"/>
    <protectedRange sqref="B13 B16" name="Range15_1_1"/>
    <protectedRange sqref="B13 B16" name="Trade List_1_1"/>
    <protectedRange sqref="B14" name="Range15_2_2_1"/>
    <protectedRange sqref="B14" name="Trade List_2_2_1"/>
  </protectedRanges>
  <customSheetViews>
    <customSheetView guid="{923E1608-992F-4A46-BF6A-F2A437F78FBE}" fitToPage="1">
      <pane xSplit="4" ySplit="10" topLeftCell="E17" activePane="bottomRight" state="frozen"/>
      <selection pane="bottomRight" activeCell="CT46" sqref="CT46"/>
      <rowBreaks count="2" manualBreakCount="2">
        <brk id="70" max="16383" man="1"/>
        <brk id="97" max="16383" man="1"/>
      </rowBreaks>
      <colBreaks count="1" manualBreakCount="1">
        <brk id="22" max="150" man="1"/>
      </colBreaks>
      <pageMargins left="0.7" right="0.7" top="0.75" bottom="0.75" header="0.3" footer="0.3"/>
      <pageSetup paperSize="8" scale="30" orientation="landscape" r:id="rId1"/>
      <headerFooter>
        <oddFooter>&amp;LPage &amp;P of &amp;N&amp;CCashflow Project Template 05.46&amp;RDate printed: &amp;D</oddFooter>
      </headerFooter>
    </customSheetView>
    <customSheetView guid="{639E89E1-617D-4911-BF17-D7BEC20C5C85}" fitToPage="1">
      <pane xSplit="4" ySplit="13" topLeftCell="E14" activePane="bottomRight" state="frozen"/>
      <selection pane="bottomRight" activeCell="E14" sqref="E14"/>
      <rowBreaks count="2" manualBreakCount="2">
        <brk id="102" max="16383" man="1"/>
        <brk id="129" max="16383" man="1"/>
      </rowBreaks>
      <colBreaks count="1" manualBreakCount="1">
        <brk id="22" min="3" max="153" man="1"/>
      </colBreaks>
      <pageMargins left="0.7" right="0.7" top="0.75" bottom="0.75" header="0.3" footer="0.3"/>
      <pageSetup paperSize="8" scale="30" orientation="landscape" r:id="rId2"/>
      <headerFooter>
        <oddFooter>&amp;LPage &amp;P of &amp;N&amp;CCashflow Project Template 05.46&amp;RDate printed: &amp;D</oddFooter>
      </headerFooter>
    </customSheetView>
    <customSheetView guid="{56EAA32D-A85E-401C-98A4-1C3A7899AA50}" fitToPage="1" hiddenRows="1" hiddenColumns="1" topLeftCell="A4">
      <pane xSplit="5" ySplit="10" topLeftCell="H14" activePane="bottomRight" state="frozen"/>
      <selection pane="bottomRight" activeCell="CL4" sqref="CL1:CM1048576"/>
      <rowBreaks count="2" manualBreakCount="2">
        <brk id="102" max="16383" man="1"/>
        <brk id="129" max="16383" man="1"/>
      </rowBreaks>
      <colBreaks count="1" manualBreakCount="1">
        <brk id="22" min="3" max="153" man="1"/>
      </colBreaks>
      <pageMargins left="0.7" right="0.7" top="0.75" bottom="0.75" header="0.3" footer="0.3"/>
      <pageSetup paperSize="8" scale="30" orientation="landscape" r:id="rId3"/>
      <headerFooter>
        <oddFooter>&amp;LPage &amp;P of &amp;N&amp;CCashflow Project Template 05.46&amp;RDate printed: &amp;D</oddFooter>
      </headerFooter>
    </customSheetView>
    <customSheetView guid="{169CD34D-0241-4D20-B138-117C4797EAB1}" fitToPage="1" hiddenRows="1" hiddenColumns="1" topLeftCell="A4">
      <pane xSplit="5" ySplit="10" topLeftCell="F14" activePane="bottomRight" state="frozen"/>
      <selection pane="bottomRight" activeCell="D18" sqref="D18"/>
      <rowBreaks count="2" manualBreakCount="2">
        <brk id="102" max="16383" man="1"/>
        <brk id="129" max="16383" man="1"/>
      </rowBreaks>
      <colBreaks count="1" manualBreakCount="1">
        <brk id="22" min="3" max="153" man="1"/>
      </colBreaks>
      <pageMargins left="0.7" right="0.7" top="0.75" bottom="0.75" header="0.3" footer="0.3"/>
      <pageSetup paperSize="8" scale="30" orientation="landscape" r:id="rId4"/>
      <headerFooter>
        <oddFooter>&amp;LPage &amp;P of &amp;N&amp;CCashflow Project Template 05.46&amp;RDate printed: &amp;D</oddFooter>
      </headerFooter>
    </customSheetView>
    <customSheetView guid="{A034CC65-DD99-41D0-9D0E-72666CEF43E7}" fitToPage="1">
      <pane xSplit="4" ySplit="10" topLeftCell="E32" activePane="bottomRight" state="frozen"/>
      <selection pane="bottomRight" activeCell="I23" sqref="I23"/>
      <rowBreaks count="2" manualBreakCount="2">
        <brk id="69" max="16383" man="1"/>
        <brk id="96" max="16383" man="1"/>
      </rowBreaks>
      <colBreaks count="1" manualBreakCount="1">
        <brk id="22" max="150" man="1"/>
      </colBreaks>
      <pageMargins left="0.7" right="0.7" top="0.75" bottom="0.75" header="0.3" footer="0.3"/>
      <pageSetup paperSize="8" scale="30" orientation="landscape" r:id="rId5"/>
      <headerFooter>
        <oddFooter>&amp;LPage &amp;P of &amp;N&amp;CCashflow Project Template 05.46&amp;RDate printed: &amp;D</oddFooter>
      </headerFooter>
    </customSheetView>
  </customSheetViews>
  <mergeCells count="54">
    <mergeCell ref="I11:J11"/>
    <mergeCell ref="K11:L11"/>
    <mergeCell ref="M11:N11"/>
    <mergeCell ref="O11:P11"/>
    <mergeCell ref="E9:F9"/>
    <mergeCell ref="E10:F10"/>
    <mergeCell ref="E11:F11"/>
    <mergeCell ref="G11:H11"/>
    <mergeCell ref="G10:H10"/>
    <mergeCell ref="G9:H9"/>
    <mergeCell ref="I9:J9"/>
    <mergeCell ref="K9:L9"/>
    <mergeCell ref="M9:N9"/>
    <mergeCell ref="O9:P9"/>
    <mergeCell ref="I10:J10"/>
    <mergeCell ref="K10:L10"/>
    <mergeCell ref="Y10:Z10"/>
    <mergeCell ref="M10:N10"/>
    <mergeCell ref="O10:P10"/>
    <mergeCell ref="Q10:R10"/>
    <mergeCell ref="Q11:R11"/>
    <mergeCell ref="W11:X11"/>
    <mergeCell ref="U11:V11"/>
    <mergeCell ref="Q9:R9"/>
    <mergeCell ref="AA9:AB9"/>
    <mergeCell ref="AC9:AD9"/>
    <mergeCell ref="AA11:AB11"/>
    <mergeCell ref="AC11:AD11"/>
    <mergeCell ref="S11:T11"/>
    <mergeCell ref="AA10:AB10"/>
    <mergeCell ref="AC10:AD10"/>
    <mergeCell ref="Y11:Z11"/>
    <mergeCell ref="S9:T9"/>
    <mergeCell ref="U9:V9"/>
    <mergeCell ref="W9:X9"/>
    <mergeCell ref="Y9:Z9"/>
    <mergeCell ref="S10:T10"/>
    <mergeCell ref="U10:V10"/>
    <mergeCell ref="W10:X10"/>
    <mergeCell ref="AK10:AL10"/>
    <mergeCell ref="AM10:AN10"/>
    <mergeCell ref="AE9:AF9"/>
    <mergeCell ref="AG9:AH9"/>
    <mergeCell ref="AI9:AJ9"/>
    <mergeCell ref="AK9:AL9"/>
    <mergeCell ref="AM9:AN9"/>
    <mergeCell ref="AE10:AF10"/>
    <mergeCell ref="AG10:AH10"/>
    <mergeCell ref="AI10:AJ10"/>
    <mergeCell ref="AE11:AF11"/>
    <mergeCell ref="AG11:AH11"/>
    <mergeCell ref="AI11:AJ11"/>
    <mergeCell ref="AK11:AL11"/>
    <mergeCell ref="AM11:AN11"/>
  </mergeCells>
  <pageMargins left="0.11811023622047245" right="0.11811023622047245" top="0.35433070866141736" bottom="0.35433070866141736" header="0" footer="0"/>
  <pageSetup paperSize="8" scale="36" orientation="landscape" r:id="rId6"/>
  <headerFooter>
    <oddFooter>&amp;LPage &amp;P of &amp;N&amp;CCashflow Project Template 05.46&amp;RDate printed: &amp;D</oddFooter>
  </headerFooter>
  <rowBreaks count="2" manualBreakCount="2">
    <brk id="124" max="16383" man="1"/>
    <brk id="1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L66"/>
  <sheetViews>
    <sheetView zoomScale="85" zoomScaleNormal="85" zoomScaleSheetLayoutView="55" workbookViewId="0">
      <pane xSplit="4" ySplit="11" topLeftCell="E12" activePane="bottomRight" state="frozen"/>
      <selection pane="topRight" activeCell="E1" sqref="E1"/>
      <selection pane="bottomLeft" activeCell="A11" sqref="A11"/>
      <selection pane="bottomRight" activeCell="B54" sqref="B54"/>
    </sheetView>
  </sheetViews>
  <sheetFormatPr defaultRowHeight="15" customHeight="1" outlineLevelRow="1" x14ac:dyDescent="0.25"/>
  <cols>
    <col min="1" max="1" width="11.140625" customWidth="1"/>
    <col min="2" max="2" width="43.28515625" customWidth="1"/>
    <col min="3" max="5" width="16.140625" customWidth="1"/>
    <col min="6" max="6" width="7.140625" customWidth="1"/>
    <col min="7" max="7" width="14.28515625" customWidth="1"/>
    <col min="8" max="8" width="7.140625" customWidth="1"/>
    <col min="9" max="9" width="14.28515625" customWidth="1"/>
    <col min="10" max="10" width="7.140625" customWidth="1"/>
    <col min="11" max="11" width="14.28515625" customWidth="1"/>
    <col min="12" max="12" width="17.140625" customWidth="1"/>
    <col min="174" max="216" width="9.140625" customWidth="1"/>
    <col min="430" max="472" width="9.140625" customWidth="1"/>
    <col min="686" max="728" width="9.140625" customWidth="1"/>
    <col min="942" max="984" width="9.140625" customWidth="1"/>
    <col min="1198" max="1240" width="9.140625" customWidth="1"/>
    <col min="1454" max="1496" width="9.140625" customWidth="1"/>
    <col min="1710" max="1752" width="9.140625" customWidth="1"/>
    <col min="1966" max="2008" width="9.140625" customWidth="1"/>
    <col min="2222" max="2264" width="9.140625" customWidth="1"/>
    <col min="2478" max="2520" width="9.140625" customWidth="1"/>
    <col min="2734" max="2776" width="9.140625" customWidth="1"/>
    <col min="2990" max="3032" width="9.140625" customWidth="1"/>
    <col min="3246" max="3288" width="9.140625" customWidth="1"/>
    <col min="3502" max="3544" width="9.140625" customWidth="1"/>
    <col min="3758" max="3800" width="9.140625" customWidth="1"/>
    <col min="4014" max="4056" width="9.140625" customWidth="1"/>
    <col min="4270" max="4312" width="9.140625" customWidth="1"/>
    <col min="4526" max="4568" width="9.140625" customWidth="1"/>
    <col min="4782" max="4824" width="9.140625" customWidth="1"/>
    <col min="5038" max="5080" width="9.140625" customWidth="1"/>
    <col min="5294" max="5336" width="9.140625" customWidth="1"/>
    <col min="5550" max="5592" width="9.140625" customWidth="1"/>
    <col min="5806" max="5848" width="9.140625" customWidth="1"/>
    <col min="6062" max="6104" width="9.140625" customWidth="1"/>
    <col min="6318" max="6360" width="9.140625" customWidth="1"/>
    <col min="6574" max="6616" width="9.140625" customWidth="1"/>
    <col min="6830" max="6872" width="9.140625" customWidth="1"/>
    <col min="7086" max="7128" width="9.140625" customWidth="1"/>
    <col min="7342" max="7384" width="9.140625" customWidth="1"/>
    <col min="7598" max="7640" width="9.140625" customWidth="1"/>
    <col min="7854" max="7896" width="9.140625" customWidth="1"/>
    <col min="8110" max="8152" width="9.140625" customWidth="1"/>
    <col min="8366" max="8408" width="9.140625" customWidth="1"/>
    <col min="8622" max="8664" width="9.140625" customWidth="1"/>
    <col min="8878" max="8920" width="9.140625" customWidth="1"/>
    <col min="9134" max="9176" width="9.140625" customWidth="1"/>
    <col min="9390" max="9432" width="9.140625" customWidth="1"/>
    <col min="9646" max="9688" width="9.140625" customWidth="1"/>
    <col min="9902" max="9944" width="9.140625" customWidth="1"/>
    <col min="10158" max="10200" width="9.140625" customWidth="1"/>
    <col min="10414" max="10456" width="9.140625" customWidth="1"/>
    <col min="10670" max="10712" width="9.140625" customWidth="1"/>
    <col min="10926" max="10968" width="9.140625" customWidth="1"/>
    <col min="11182" max="11224" width="9.140625" customWidth="1"/>
    <col min="11438" max="11480" width="9.140625" customWidth="1"/>
    <col min="11694" max="11736" width="9.140625" customWidth="1"/>
    <col min="11950" max="11992" width="9.140625" customWidth="1"/>
    <col min="12206" max="12248" width="9.140625" customWidth="1"/>
    <col min="12462" max="12504" width="9.140625" customWidth="1"/>
    <col min="12718" max="12760" width="9.140625" customWidth="1"/>
    <col min="12974" max="13016" width="9.140625" customWidth="1"/>
    <col min="13230" max="13272" width="9.140625" customWidth="1"/>
    <col min="13486" max="13528" width="9.140625" customWidth="1"/>
    <col min="13742" max="13784" width="9.140625" customWidth="1"/>
    <col min="13998" max="14040" width="9.140625" customWidth="1"/>
    <col min="14254" max="14296" width="9.140625" customWidth="1"/>
    <col min="14510" max="14552" width="9.140625" customWidth="1"/>
    <col min="14766" max="14808" width="9.140625" customWidth="1"/>
    <col min="15022" max="15064" width="9.140625" customWidth="1"/>
    <col min="15278" max="15320" width="9.140625" customWidth="1"/>
    <col min="15534" max="15576" width="9.140625" customWidth="1"/>
    <col min="15790" max="15832" width="9.140625" customWidth="1"/>
    <col min="16046" max="16088" width="9.140625" customWidth="1"/>
  </cols>
  <sheetData>
    <row r="1" spans="1:12" outlineLevel="1" x14ac:dyDescent="0.25">
      <c r="A1" s="98" t="s">
        <v>10</v>
      </c>
      <c r="B1" s="98" t="s">
        <v>11</v>
      </c>
      <c r="C1" s="99" t="s">
        <v>9</v>
      </c>
      <c r="D1" s="68">
        <v>0.1</v>
      </c>
      <c r="E1" s="68"/>
      <c r="F1" s="57"/>
      <c r="G1" s="58">
        <f>+F9</f>
        <v>0</v>
      </c>
      <c r="H1" s="57"/>
      <c r="I1" s="58">
        <f>+H9</f>
        <v>0</v>
      </c>
      <c r="J1" s="57"/>
      <c r="K1" s="58">
        <f>+J9</f>
        <v>0</v>
      </c>
      <c r="L1" s="58" t="e">
        <f>+#REF!</f>
        <v>#REF!</v>
      </c>
    </row>
    <row r="2" spans="1:12" outlineLevel="1" x14ac:dyDescent="0.25">
      <c r="A2" s="61" t="str">
        <f>+Info!C2</f>
        <v>22066</v>
      </c>
      <c r="B2" s="61" t="str">
        <f>+Info!D2</f>
        <v>ROCKPOOL PELICAN WATERS</v>
      </c>
      <c r="C2" s="61" t="str">
        <f>+Info!E2</f>
        <v>BOND/BG</v>
      </c>
      <c r="D2" s="67">
        <v>0.05</v>
      </c>
      <c r="E2" s="67"/>
      <c r="F2" s="13"/>
      <c r="G2" s="9"/>
      <c r="H2" s="13"/>
      <c r="I2" s="9"/>
      <c r="J2" s="13"/>
      <c r="K2" s="9"/>
      <c r="L2" s="9"/>
    </row>
    <row r="3" spans="1:12" ht="30" outlineLevel="1" x14ac:dyDescent="0.25">
      <c r="A3" s="100" t="s">
        <v>50</v>
      </c>
      <c r="B3" s="100" t="s">
        <v>14</v>
      </c>
      <c r="C3" s="100" t="s">
        <v>51</v>
      </c>
      <c r="D3" s="101" t="s">
        <v>5</v>
      </c>
      <c r="E3" s="101"/>
      <c r="F3" s="13"/>
      <c r="G3" s="9"/>
      <c r="H3" s="13"/>
      <c r="I3" s="9"/>
      <c r="J3" s="13"/>
      <c r="K3" s="9"/>
      <c r="L3" s="9"/>
    </row>
    <row r="4" spans="1:12" outlineLevel="1" x14ac:dyDescent="0.25">
      <c r="A4" s="64">
        <f>+Info!F2</f>
        <v>44774</v>
      </c>
      <c r="B4" s="64">
        <f>+Info!G2</f>
        <v>45258</v>
      </c>
      <c r="C4" s="64">
        <f>+Info!H2</f>
        <v>45258</v>
      </c>
      <c r="D4" s="66">
        <f>B4-A4+1</f>
        <v>485</v>
      </c>
      <c r="E4" s="66"/>
      <c r="F4" s="13"/>
      <c r="G4" s="9"/>
      <c r="H4" s="13"/>
      <c r="I4" s="9"/>
      <c r="J4" s="13"/>
      <c r="K4" s="9"/>
      <c r="L4" s="9"/>
    </row>
    <row r="5" spans="1:12" outlineLevel="1" x14ac:dyDescent="0.25">
      <c r="A5" s="65" t="s">
        <v>4</v>
      </c>
      <c r="B5" s="27">
        <v>44178</v>
      </c>
      <c r="F5" s="13"/>
      <c r="G5" s="9"/>
      <c r="H5" s="13"/>
      <c r="I5" s="9"/>
      <c r="J5" s="13"/>
      <c r="K5" s="9"/>
      <c r="L5" s="9"/>
    </row>
    <row r="6" spans="1:12" ht="15.75" outlineLevel="1" thickBot="1" x14ac:dyDescent="0.3">
      <c r="A6" s="1"/>
      <c r="B6" s="45"/>
      <c r="C6" s="10"/>
      <c r="D6" s="10"/>
      <c r="E6" s="10"/>
      <c r="F6" s="12"/>
      <c r="G6" s="5"/>
      <c r="H6" s="12"/>
      <c r="I6" s="5"/>
      <c r="J6" s="12"/>
      <c r="K6" s="5"/>
      <c r="L6" s="5"/>
    </row>
    <row r="7" spans="1:12" ht="27.95" customHeight="1" outlineLevel="1" thickBot="1" x14ac:dyDescent="0.3">
      <c r="A7" s="24" t="s">
        <v>6</v>
      </c>
      <c r="B7" s="18"/>
      <c r="C7" s="46"/>
      <c r="D7" s="46"/>
      <c r="E7" s="46"/>
      <c r="F7" s="69"/>
      <c r="G7" s="69"/>
      <c r="H7" s="69"/>
      <c r="I7" s="69"/>
      <c r="J7" s="69"/>
      <c r="K7" s="69"/>
      <c r="L7" s="69"/>
    </row>
    <row r="8" spans="1:12" ht="15" customHeight="1" outlineLevel="1" thickBot="1" x14ac:dyDescent="0.3">
      <c r="A8" s="29"/>
      <c r="B8" s="11"/>
      <c r="C8" s="30"/>
      <c r="D8" s="30"/>
      <c r="E8" s="30"/>
      <c r="F8" s="141"/>
      <c r="G8" s="76"/>
      <c r="H8" s="75"/>
      <c r="I8" s="76"/>
      <c r="J8" s="75"/>
      <c r="K8" s="76"/>
      <c r="L8" s="76"/>
    </row>
    <row r="9" spans="1:12" ht="16.5" customHeight="1" thickTop="1" thickBot="1" x14ac:dyDescent="0.3">
      <c r="A9" s="7" t="s">
        <v>0</v>
      </c>
      <c r="B9" s="8" t="s">
        <v>1</v>
      </c>
      <c r="C9" s="17"/>
      <c r="D9" s="17" t="s">
        <v>2</v>
      </c>
      <c r="E9" s="17"/>
      <c r="F9" s="282"/>
      <c r="G9" s="283"/>
      <c r="H9" s="282"/>
      <c r="I9" s="283"/>
      <c r="J9" s="282"/>
      <c r="K9" s="283"/>
      <c r="L9" s="114"/>
    </row>
    <row r="10" spans="1:12" ht="16.5" customHeight="1" thickBot="1" x14ac:dyDescent="0.3">
      <c r="A10" s="14"/>
      <c r="B10" s="15"/>
      <c r="C10" s="16"/>
      <c r="D10" s="16"/>
      <c r="E10" s="16"/>
      <c r="F10" s="286" t="s">
        <v>55</v>
      </c>
      <c r="G10" s="287"/>
      <c r="H10" s="286" t="s">
        <v>55</v>
      </c>
      <c r="I10" s="287"/>
      <c r="J10" s="286" t="s">
        <v>56</v>
      </c>
      <c r="K10" s="287"/>
      <c r="L10" s="115" t="s">
        <v>58</v>
      </c>
    </row>
    <row r="11" spans="1:12" ht="16.5" customHeight="1" x14ac:dyDescent="0.25">
      <c r="A11" s="14"/>
      <c r="B11" s="15"/>
      <c r="C11" s="16" t="s">
        <v>20</v>
      </c>
      <c r="D11" s="16" t="s">
        <v>21</v>
      </c>
      <c r="E11" s="16" t="s">
        <v>54</v>
      </c>
      <c r="F11" s="284" t="s">
        <v>7</v>
      </c>
      <c r="G11" s="285"/>
      <c r="H11" s="284" t="s">
        <v>8</v>
      </c>
      <c r="I11" s="285"/>
      <c r="J11" s="284" t="s">
        <v>8</v>
      </c>
      <c r="K11" s="285"/>
      <c r="L11" s="116" t="s">
        <v>57</v>
      </c>
    </row>
    <row r="12" spans="1:12" x14ac:dyDescent="0.25">
      <c r="A12" s="31"/>
      <c r="B12" s="32" t="s">
        <v>92</v>
      </c>
      <c r="C12" s="33"/>
      <c r="D12" s="34"/>
      <c r="E12" s="34"/>
      <c r="F12" s="70"/>
      <c r="G12" s="71"/>
      <c r="H12" s="70"/>
      <c r="I12" s="71"/>
      <c r="J12" s="70"/>
      <c r="K12" s="71"/>
      <c r="L12" s="71"/>
    </row>
    <row r="13" spans="1:12" x14ac:dyDescent="0.25">
      <c r="A13" s="36"/>
      <c r="B13" s="134" t="s">
        <v>53</v>
      </c>
      <c r="C13" s="48">
        <f>+SUMIF(Info!A:A,B13,Info!I:I)</f>
        <v>0</v>
      </c>
      <c r="D13" s="48">
        <f>+SUMIF(Info!W:W,B13,Info!$U:$U)</f>
        <v>0</v>
      </c>
      <c r="E13" s="48">
        <f>+C13-D13</f>
        <v>0</v>
      </c>
      <c r="F13" s="138">
        <f>IFERROR(IF(G13/$C13=0,0,G13/$C13),0)</f>
        <v>0</v>
      </c>
      <c r="G13" s="142">
        <f>SUMIF(Info!$A:$A,$B13,Info!$J:$J)</f>
        <v>0</v>
      </c>
      <c r="H13" s="138">
        <f>IFERROR(IF(I13/$D13=0,0,I13/$D13),0)</f>
        <v>0</v>
      </c>
      <c r="I13" s="142">
        <f>+SUMIF(Info!W:W,B13,Info!V:V)</f>
        <v>0</v>
      </c>
      <c r="J13" s="138">
        <f>IFERROR(F13-H13,0)</f>
        <v>0</v>
      </c>
      <c r="K13" s="142">
        <f>IFERROR(J13*D13,0)</f>
        <v>0</v>
      </c>
      <c r="L13" s="142">
        <f>IFERROR(E13*F13,0)</f>
        <v>0</v>
      </c>
    </row>
    <row r="14" spans="1:12" x14ac:dyDescent="0.25">
      <c r="A14" s="35"/>
      <c r="B14" s="104"/>
      <c r="C14" s="47">
        <f>+SUMIF(Info!A:A,B14,Info!I:I)</f>
        <v>0</v>
      </c>
      <c r="D14" s="47">
        <f>+SUMIF(Info!W:W,B14,Info!$U:$U)</f>
        <v>0</v>
      </c>
      <c r="E14" s="47">
        <f>+C14-D14</f>
        <v>0</v>
      </c>
      <c r="F14" s="139">
        <f>IFERROR(IF(G14/$C14=0,0,G14/$C14),0)</f>
        <v>0</v>
      </c>
      <c r="G14" s="143">
        <f>SUMIF(Info!$A:$A,$B14,Info!$J:$J)</f>
        <v>0</v>
      </c>
      <c r="H14" s="139">
        <f>IFERROR(IF(I14/$D14=0,0,I14/$D14),0)</f>
        <v>0</v>
      </c>
      <c r="I14" s="143">
        <f>+SUMIF(Info!W:W,B14,Info!V:V)</f>
        <v>0</v>
      </c>
      <c r="J14" s="139">
        <f>IFERROR(F14-H14,0)</f>
        <v>0</v>
      </c>
      <c r="K14" s="143">
        <f>IFERROR(J14*D14,0)</f>
        <v>0</v>
      </c>
      <c r="L14" s="143">
        <f>IFERROR(E14*F14,0)</f>
        <v>0</v>
      </c>
    </row>
    <row r="15" spans="1:12" x14ac:dyDescent="0.25">
      <c r="A15" s="31"/>
      <c r="B15" s="32" t="s">
        <v>63</v>
      </c>
      <c r="C15" s="33"/>
      <c r="D15" s="34"/>
      <c r="E15" s="34"/>
      <c r="F15" s="140"/>
      <c r="G15" s="144"/>
      <c r="H15" s="140"/>
      <c r="I15" s="144"/>
      <c r="J15" s="140"/>
      <c r="K15" s="144"/>
      <c r="L15" s="144"/>
    </row>
    <row r="16" spans="1:12" x14ac:dyDescent="0.25">
      <c r="A16" s="36"/>
      <c r="B16" s="134" t="s">
        <v>63</v>
      </c>
      <c r="C16" s="48">
        <f>+SUMIF(Info!A:A,B16,Info!I:I)</f>
        <v>0</v>
      </c>
      <c r="D16" s="48">
        <f>+SUMIF(Info!W:W,B16,Info!$U:$U)</f>
        <v>0</v>
      </c>
      <c r="E16" s="48">
        <f>+C16-D16</f>
        <v>0</v>
      </c>
      <c r="F16" s="138">
        <f>IFERROR(IF(G16/$C16=0,0,G16/$C16),0)</f>
        <v>0</v>
      </c>
      <c r="G16" s="142">
        <f>SUMIF(Info!$A:$A,$B16,Info!$J:$J)</f>
        <v>0</v>
      </c>
      <c r="H16" s="138">
        <f>IFERROR(IF(I16/$D16=0,0,I16/$D16),0)</f>
        <v>0</v>
      </c>
      <c r="I16" s="142">
        <f>+SUMIF(Info!W:W,B16,Info!V:V)</f>
        <v>0</v>
      </c>
      <c r="J16" s="138">
        <f>IFERROR(F16-H16,0)</f>
        <v>0</v>
      </c>
      <c r="K16" s="142">
        <f t="shared" ref="K16:K49" si="0">IFERROR(J16*D16,0)</f>
        <v>0</v>
      </c>
      <c r="L16" s="142">
        <f t="shared" ref="L16:L49" si="1">IFERROR(E16*F16,0)</f>
        <v>0</v>
      </c>
    </row>
    <row r="17" spans="1:12" x14ac:dyDescent="0.25">
      <c r="A17" s="35"/>
      <c r="B17" s="104"/>
      <c r="C17" s="47">
        <f>+SUMIF(Info!A:A,B17,Info!I:I)</f>
        <v>0</v>
      </c>
      <c r="D17" s="47">
        <f>+SUMIF(Info!W:W,B17,Info!$U:$U)</f>
        <v>0</v>
      </c>
      <c r="E17" s="47">
        <f>+C17-D17</f>
        <v>0</v>
      </c>
      <c r="F17" s="139">
        <f>IFERROR(IF(G17/$C17=0,0,G17/$C17),0)</f>
        <v>0</v>
      </c>
      <c r="G17" s="143">
        <f>SUMIF(Info!$A:$A,$B17,Info!$J:$J)</f>
        <v>0</v>
      </c>
      <c r="H17" s="139">
        <f>IFERROR(IF(I17/$D17=0,0,I17/$D17),0)</f>
        <v>0</v>
      </c>
      <c r="I17" s="143">
        <f>+SUMIF(Info!W:W,B17,Info!V:V)</f>
        <v>0</v>
      </c>
      <c r="J17" s="139">
        <f>IFERROR(F17-H17,0)</f>
        <v>0</v>
      </c>
      <c r="K17" s="143">
        <f t="shared" si="0"/>
        <v>0</v>
      </c>
      <c r="L17" s="143">
        <f t="shared" si="1"/>
        <v>0</v>
      </c>
    </row>
    <row r="18" spans="1:12" x14ac:dyDescent="0.25">
      <c r="A18" s="31"/>
      <c r="B18" s="32" t="s">
        <v>93</v>
      </c>
      <c r="C18" s="33"/>
      <c r="D18" s="34"/>
      <c r="E18" s="34"/>
      <c r="F18" s="140"/>
      <c r="G18" s="144"/>
      <c r="H18" s="140"/>
      <c r="I18" s="144"/>
      <c r="J18" s="140"/>
      <c r="K18" s="144"/>
      <c r="L18" s="144"/>
    </row>
    <row r="19" spans="1:12" x14ac:dyDescent="0.25">
      <c r="A19" s="36"/>
      <c r="B19" s="134" t="s">
        <v>64</v>
      </c>
      <c r="C19" s="48">
        <f>+SUMIF(Info!A:A,B19,Info!I:I)</f>
        <v>0</v>
      </c>
      <c r="D19" s="48">
        <f>+SUMIF(Info!W:W,B19,Info!$U:$U)</f>
        <v>0</v>
      </c>
      <c r="E19" s="48">
        <f t="shared" ref="E19:E51" si="2">+C19-D19</f>
        <v>0</v>
      </c>
      <c r="F19" s="138">
        <f t="shared" ref="F19:F54" si="3">IFERROR(IF(G19/$C19=0,0,G19/$C19),0)</f>
        <v>0</v>
      </c>
      <c r="G19" s="142">
        <f>SUMIF(Info!$A:$A,$B19,Info!$J:$J)</f>
        <v>0</v>
      </c>
      <c r="H19" s="138">
        <f t="shared" ref="H19:H51" si="4">IFERROR(IF(I19/$D19=0,0,I19/$D19),0)</f>
        <v>0</v>
      </c>
      <c r="I19" s="142">
        <f>+SUMIF(Info!W:W,B19,Info!V:V)</f>
        <v>0</v>
      </c>
      <c r="J19" s="138">
        <f t="shared" ref="J19:J51" si="5">IFERROR(F19-H19,0)</f>
        <v>0</v>
      </c>
      <c r="K19" s="142">
        <f t="shared" si="0"/>
        <v>0</v>
      </c>
      <c r="L19" s="142">
        <f t="shared" si="1"/>
        <v>0</v>
      </c>
    </row>
    <row r="20" spans="1:12" x14ac:dyDescent="0.25">
      <c r="A20" s="35"/>
      <c r="B20" s="104" t="s">
        <v>65</v>
      </c>
      <c r="C20" s="47">
        <f>+SUMIF(Info!A:A,B20,Info!I:I)</f>
        <v>0</v>
      </c>
      <c r="D20" s="47">
        <f>+SUMIF(Info!W:W,B20,Info!$U:$U)</f>
        <v>0</v>
      </c>
      <c r="E20" s="47">
        <f t="shared" si="2"/>
        <v>0</v>
      </c>
      <c r="F20" s="139">
        <f t="shared" si="3"/>
        <v>0</v>
      </c>
      <c r="G20" s="143">
        <f>SUMIF(Info!$A:$A,$B20,Info!$J:$J)</f>
        <v>0</v>
      </c>
      <c r="H20" s="139">
        <f t="shared" si="4"/>
        <v>0</v>
      </c>
      <c r="I20" s="143">
        <f>+SUMIF(Info!W:W,B20,Info!V:V)</f>
        <v>0</v>
      </c>
      <c r="J20" s="139">
        <f t="shared" si="5"/>
        <v>0</v>
      </c>
      <c r="K20" s="143">
        <f t="shared" si="0"/>
        <v>0</v>
      </c>
      <c r="L20" s="143">
        <f t="shared" si="1"/>
        <v>0</v>
      </c>
    </row>
    <row r="21" spans="1:12" x14ac:dyDescent="0.25">
      <c r="A21" s="36"/>
      <c r="B21" s="134" t="s">
        <v>66</v>
      </c>
      <c r="C21" s="48">
        <f>+SUMIF(Info!A:A,B21,Info!I:I)</f>
        <v>0</v>
      </c>
      <c r="D21" s="48">
        <f>+SUMIF(Info!W:W,B21,Info!$U:$U)</f>
        <v>0</v>
      </c>
      <c r="E21" s="48">
        <f t="shared" si="2"/>
        <v>0</v>
      </c>
      <c r="F21" s="138">
        <f t="shared" si="3"/>
        <v>0</v>
      </c>
      <c r="G21" s="142">
        <f>SUMIF(Info!$A:$A,$B21,Info!$J:$J)</f>
        <v>0</v>
      </c>
      <c r="H21" s="138">
        <f t="shared" si="4"/>
        <v>0</v>
      </c>
      <c r="I21" s="142">
        <f>+SUMIF(Info!W:W,B21,Info!V:V)</f>
        <v>0</v>
      </c>
      <c r="J21" s="138">
        <f t="shared" si="5"/>
        <v>0</v>
      </c>
      <c r="K21" s="142">
        <f t="shared" si="0"/>
        <v>0</v>
      </c>
      <c r="L21" s="142">
        <f t="shared" si="1"/>
        <v>0</v>
      </c>
    </row>
    <row r="22" spans="1:12" x14ac:dyDescent="0.25">
      <c r="A22" s="35"/>
      <c r="B22" s="104" t="s">
        <v>67</v>
      </c>
      <c r="C22" s="47">
        <f>+SUMIF(Info!A:A,B22,Info!I:I)</f>
        <v>0</v>
      </c>
      <c r="D22" s="47">
        <f>+SUMIF(Info!W:W,B22,Info!$U:$U)</f>
        <v>0</v>
      </c>
      <c r="E22" s="47">
        <f t="shared" si="2"/>
        <v>0</v>
      </c>
      <c r="F22" s="139">
        <f t="shared" si="3"/>
        <v>0</v>
      </c>
      <c r="G22" s="143">
        <f>SUMIF(Info!$A:$A,$B22,Info!$J:$J)</f>
        <v>0</v>
      </c>
      <c r="H22" s="139">
        <f t="shared" si="4"/>
        <v>0</v>
      </c>
      <c r="I22" s="143">
        <f>+SUMIF(Info!W:W,B22,Info!V:V)</f>
        <v>0</v>
      </c>
      <c r="J22" s="139">
        <f t="shared" si="5"/>
        <v>0</v>
      </c>
      <c r="K22" s="143">
        <f t="shared" si="0"/>
        <v>0</v>
      </c>
      <c r="L22" s="143">
        <f t="shared" si="1"/>
        <v>0</v>
      </c>
    </row>
    <row r="23" spans="1:12" x14ac:dyDescent="0.25">
      <c r="A23" s="36"/>
      <c r="B23" s="134" t="s">
        <v>68</v>
      </c>
      <c r="C23" s="48">
        <f>+SUMIF(Info!A:A,B23,Info!I:I)</f>
        <v>0</v>
      </c>
      <c r="D23" s="48">
        <f>+SUMIF(Info!W:W,B23,Info!$U:$U)</f>
        <v>0</v>
      </c>
      <c r="E23" s="48">
        <f t="shared" si="2"/>
        <v>0</v>
      </c>
      <c r="F23" s="138">
        <f t="shared" si="3"/>
        <v>0</v>
      </c>
      <c r="G23" s="142">
        <f>SUMIF(Info!$A:$A,$B23,Info!$J:$J)</f>
        <v>0</v>
      </c>
      <c r="H23" s="138">
        <f t="shared" si="4"/>
        <v>0</v>
      </c>
      <c r="I23" s="142">
        <f>+SUMIF(Info!W:W,B23,Info!V:V)</f>
        <v>0</v>
      </c>
      <c r="J23" s="138">
        <f t="shared" si="5"/>
        <v>0</v>
      </c>
      <c r="K23" s="142">
        <f t="shared" si="0"/>
        <v>0</v>
      </c>
      <c r="L23" s="142">
        <f t="shared" si="1"/>
        <v>0</v>
      </c>
    </row>
    <row r="24" spans="1:12" x14ac:dyDescent="0.25">
      <c r="A24" s="35"/>
      <c r="B24" s="104" t="s">
        <v>69</v>
      </c>
      <c r="C24" s="47">
        <f>+SUMIF(Info!A:A,B24,Info!I:I)</f>
        <v>0</v>
      </c>
      <c r="D24" s="47">
        <f>+SUMIF(Info!W:W,B24,Info!$U:$U)</f>
        <v>0</v>
      </c>
      <c r="E24" s="47">
        <f t="shared" si="2"/>
        <v>0</v>
      </c>
      <c r="F24" s="139">
        <f t="shared" si="3"/>
        <v>0</v>
      </c>
      <c r="G24" s="143">
        <f>SUMIF(Info!$A:$A,$B24,Info!$J:$J)</f>
        <v>0</v>
      </c>
      <c r="H24" s="139">
        <f t="shared" si="4"/>
        <v>0</v>
      </c>
      <c r="I24" s="143">
        <f>+SUMIF(Info!W:W,B24,Info!V:V)</f>
        <v>0</v>
      </c>
      <c r="J24" s="139">
        <f t="shared" si="5"/>
        <v>0</v>
      </c>
      <c r="K24" s="143">
        <f t="shared" si="0"/>
        <v>0</v>
      </c>
      <c r="L24" s="143">
        <f t="shared" si="1"/>
        <v>0</v>
      </c>
    </row>
    <row r="25" spans="1:12" x14ac:dyDescent="0.25">
      <c r="A25" s="36"/>
      <c r="B25" s="134" t="s">
        <v>70</v>
      </c>
      <c r="C25" s="48">
        <f>+SUMIF(Info!A:A,B25,Info!I:I)</f>
        <v>0</v>
      </c>
      <c r="D25" s="48">
        <f>+SUMIF(Info!W:W,B25,Info!$U:$U)</f>
        <v>0</v>
      </c>
      <c r="E25" s="48">
        <f t="shared" si="2"/>
        <v>0</v>
      </c>
      <c r="F25" s="138">
        <f t="shared" si="3"/>
        <v>0</v>
      </c>
      <c r="G25" s="142">
        <f>SUMIF(Info!$A:$A,$B25,Info!$J:$J)</f>
        <v>0</v>
      </c>
      <c r="H25" s="138">
        <f t="shared" si="4"/>
        <v>0</v>
      </c>
      <c r="I25" s="142">
        <f>+SUMIF(Info!W:W,B25,Info!V:V)</f>
        <v>0</v>
      </c>
      <c r="J25" s="138">
        <f t="shared" si="5"/>
        <v>0</v>
      </c>
      <c r="K25" s="142">
        <f t="shared" si="0"/>
        <v>0</v>
      </c>
      <c r="L25" s="142">
        <f t="shared" si="1"/>
        <v>0</v>
      </c>
    </row>
    <row r="26" spans="1:12" x14ac:dyDescent="0.25">
      <c r="A26" s="35"/>
      <c r="B26" s="104" t="s">
        <v>71</v>
      </c>
      <c r="C26" s="47">
        <f>+SUMIF(Info!A:A,B26,Info!I:I)</f>
        <v>0</v>
      </c>
      <c r="D26" s="47">
        <f>+SUMIF(Info!W:W,B26,Info!$U:$U)</f>
        <v>0</v>
      </c>
      <c r="E26" s="47">
        <f t="shared" si="2"/>
        <v>0</v>
      </c>
      <c r="F26" s="139">
        <f t="shared" si="3"/>
        <v>0</v>
      </c>
      <c r="G26" s="143">
        <f>SUMIF(Info!$A:$A,$B26,Info!$J:$J)</f>
        <v>0</v>
      </c>
      <c r="H26" s="139">
        <f t="shared" si="4"/>
        <v>0</v>
      </c>
      <c r="I26" s="143">
        <f>+SUMIF(Info!W:W,B26,Info!V:V)</f>
        <v>0</v>
      </c>
      <c r="J26" s="139">
        <f t="shared" si="5"/>
        <v>0</v>
      </c>
      <c r="K26" s="143">
        <f t="shared" si="0"/>
        <v>0</v>
      </c>
      <c r="L26" s="143">
        <f t="shared" si="1"/>
        <v>0</v>
      </c>
    </row>
    <row r="27" spans="1:12" x14ac:dyDescent="0.25">
      <c r="A27" s="36"/>
      <c r="B27" s="134" t="s">
        <v>72</v>
      </c>
      <c r="C27" s="48">
        <f>+SUMIF(Info!A:A,B27,Info!I:I)</f>
        <v>0</v>
      </c>
      <c r="D27" s="48">
        <f>+SUMIF(Info!W:W,B27,Info!$U:$U)</f>
        <v>0</v>
      </c>
      <c r="E27" s="48">
        <f t="shared" si="2"/>
        <v>0</v>
      </c>
      <c r="F27" s="138">
        <f t="shared" si="3"/>
        <v>0</v>
      </c>
      <c r="G27" s="142">
        <f>SUMIF(Info!$A:$A,$B27,Info!$J:$J)</f>
        <v>0</v>
      </c>
      <c r="H27" s="138">
        <f t="shared" si="4"/>
        <v>0</v>
      </c>
      <c r="I27" s="142">
        <f>+SUMIF(Info!W:W,B27,Info!V:V)</f>
        <v>0</v>
      </c>
      <c r="J27" s="138">
        <f t="shared" si="5"/>
        <v>0</v>
      </c>
      <c r="K27" s="142">
        <f t="shared" si="0"/>
        <v>0</v>
      </c>
      <c r="L27" s="142">
        <f t="shared" si="1"/>
        <v>0</v>
      </c>
    </row>
    <row r="28" spans="1:12" x14ac:dyDescent="0.25">
      <c r="A28" s="35"/>
      <c r="B28" s="104" t="s">
        <v>73</v>
      </c>
      <c r="C28" s="47">
        <f>+SUMIF(Info!A:A,B28,Info!I:I)</f>
        <v>0</v>
      </c>
      <c r="D28" s="47">
        <f>+SUMIF(Info!W:W,B28,Info!$U:$U)</f>
        <v>0</v>
      </c>
      <c r="E28" s="47">
        <f t="shared" si="2"/>
        <v>0</v>
      </c>
      <c r="F28" s="139">
        <f t="shared" si="3"/>
        <v>0</v>
      </c>
      <c r="G28" s="143">
        <f>SUMIF(Info!$A:$A,$B28,Info!$J:$J)</f>
        <v>0</v>
      </c>
      <c r="H28" s="139">
        <f t="shared" si="4"/>
        <v>0</v>
      </c>
      <c r="I28" s="143">
        <f>+SUMIF(Info!W:W,B28,Info!V:V)</f>
        <v>0</v>
      </c>
      <c r="J28" s="139">
        <f t="shared" si="5"/>
        <v>0</v>
      </c>
      <c r="K28" s="143">
        <f t="shared" si="0"/>
        <v>0</v>
      </c>
      <c r="L28" s="143">
        <f t="shared" si="1"/>
        <v>0</v>
      </c>
    </row>
    <row r="29" spans="1:12" x14ac:dyDescent="0.25">
      <c r="A29" s="36"/>
      <c r="B29" s="134" t="s">
        <v>74</v>
      </c>
      <c r="C29" s="48">
        <f>+SUMIF(Info!A:A,B29,Info!I:I)</f>
        <v>0</v>
      </c>
      <c r="D29" s="48">
        <f>+SUMIF(Info!W:W,B29,Info!$U:$U)</f>
        <v>0</v>
      </c>
      <c r="E29" s="48">
        <f t="shared" si="2"/>
        <v>0</v>
      </c>
      <c r="F29" s="138">
        <f t="shared" si="3"/>
        <v>0</v>
      </c>
      <c r="G29" s="142">
        <f>SUMIF(Info!$A:$A,$B29,Info!$J:$J)</f>
        <v>0</v>
      </c>
      <c r="H29" s="138">
        <f t="shared" si="4"/>
        <v>0</v>
      </c>
      <c r="I29" s="142">
        <f>+SUMIF(Info!W:W,B29,Info!V:V)</f>
        <v>0</v>
      </c>
      <c r="J29" s="138">
        <f t="shared" si="5"/>
        <v>0</v>
      </c>
      <c r="K29" s="142">
        <f t="shared" si="0"/>
        <v>0</v>
      </c>
      <c r="L29" s="142">
        <f t="shared" si="1"/>
        <v>0</v>
      </c>
    </row>
    <row r="30" spans="1:12" x14ac:dyDescent="0.25">
      <c r="A30" s="35"/>
      <c r="B30" s="104" t="s">
        <v>75</v>
      </c>
      <c r="C30" s="47">
        <f>+SUMIF(Info!A:A,B30,Info!I:I)</f>
        <v>0</v>
      </c>
      <c r="D30" s="47">
        <f>+SUMIF(Info!W:W,B30,Info!$U:$U)</f>
        <v>0</v>
      </c>
      <c r="E30" s="47">
        <f t="shared" si="2"/>
        <v>0</v>
      </c>
      <c r="F30" s="139">
        <f t="shared" si="3"/>
        <v>0</v>
      </c>
      <c r="G30" s="143">
        <f>SUMIF(Info!$A:$A,$B30,Info!$J:$J)</f>
        <v>0</v>
      </c>
      <c r="H30" s="139">
        <f t="shared" si="4"/>
        <v>0</v>
      </c>
      <c r="I30" s="143">
        <f>+SUMIF(Info!W:W,B30,Info!V:V)</f>
        <v>0</v>
      </c>
      <c r="J30" s="139">
        <f t="shared" si="5"/>
        <v>0</v>
      </c>
      <c r="K30" s="143">
        <f t="shared" si="0"/>
        <v>0</v>
      </c>
      <c r="L30" s="143">
        <f t="shared" si="1"/>
        <v>0</v>
      </c>
    </row>
    <row r="31" spans="1:12" x14ac:dyDescent="0.25">
      <c r="A31" s="36"/>
      <c r="B31" s="134" t="s">
        <v>76</v>
      </c>
      <c r="C31" s="48">
        <f>+SUMIF(Info!A:A,B31,Info!I:I)</f>
        <v>0</v>
      </c>
      <c r="D31" s="48">
        <f>+SUMIF(Info!W:W,B31,Info!$U:$U)</f>
        <v>0</v>
      </c>
      <c r="E31" s="48">
        <f t="shared" si="2"/>
        <v>0</v>
      </c>
      <c r="F31" s="138">
        <f t="shared" si="3"/>
        <v>0</v>
      </c>
      <c r="G31" s="142">
        <f>SUMIF(Info!$A:$A,$B31,Info!$J:$J)</f>
        <v>0</v>
      </c>
      <c r="H31" s="138">
        <f t="shared" si="4"/>
        <v>0</v>
      </c>
      <c r="I31" s="142">
        <f>+SUMIF(Info!W:W,B31,Info!V:V)</f>
        <v>0</v>
      </c>
      <c r="J31" s="138">
        <f t="shared" si="5"/>
        <v>0</v>
      </c>
      <c r="K31" s="142">
        <f t="shared" si="0"/>
        <v>0</v>
      </c>
      <c r="L31" s="142">
        <f t="shared" si="1"/>
        <v>0</v>
      </c>
    </row>
    <row r="32" spans="1:12" x14ac:dyDescent="0.25">
      <c r="A32" s="35"/>
      <c r="B32" s="104" t="s">
        <v>77</v>
      </c>
      <c r="C32" s="47">
        <f>+SUMIF(Info!A:A,B32,Info!I:I)</f>
        <v>0</v>
      </c>
      <c r="D32" s="47">
        <f>+SUMIF(Info!W:W,B32,Info!$U:$U)</f>
        <v>0</v>
      </c>
      <c r="E32" s="47">
        <f t="shared" si="2"/>
        <v>0</v>
      </c>
      <c r="F32" s="139">
        <f t="shared" si="3"/>
        <v>0</v>
      </c>
      <c r="G32" s="143">
        <f>SUMIF(Info!$A:$A,$B32,Info!$J:$J)</f>
        <v>0</v>
      </c>
      <c r="H32" s="139">
        <f t="shared" si="4"/>
        <v>0</v>
      </c>
      <c r="I32" s="143">
        <f>+SUMIF(Info!W:W,B32,Info!V:V)</f>
        <v>0</v>
      </c>
      <c r="J32" s="139">
        <f t="shared" si="5"/>
        <v>0</v>
      </c>
      <c r="K32" s="143">
        <f t="shared" si="0"/>
        <v>0</v>
      </c>
      <c r="L32" s="143">
        <f t="shared" si="1"/>
        <v>0</v>
      </c>
    </row>
    <row r="33" spans="1:12" x14ac:dyDescent="0.25">
      <c r="A33" s="36"/>
      <c r="B33" s="134" t="s">
        <v>95</v>
      </c>
      <c r="C33" s="48">
        <f>+SUMIF(Info!A:A,B33,Info!I:I)</f>
        <v>0</v>
      </c>
      <c r="D33" s="48">
        <f>+SUMIF(Info!W:W,B33,Info!$U:$U)</f>
        <v>0</v>
      </c>
      <c r="E33" s="48">
        <f t="shared" si="2"/>
        <v>0</v>
      </c>
      <c r="F33" s="138">
        <f t="shared" si="3"/>
        <v>0</v>
      </c>
      <c r="G33" s="142">
        <f>SUMIF(Info!$A:$A,$B33,Info!$J:$J)</f>
        <v>0</v>
      </c>
      <c r="H33" s="138">
        <f t="shared" si="4"/>
        <v>0</v>
      </c>
      <c r="I33" s="142">
        <f>+SUMIF(Info!W:W,B33,Info!V:V)</f>
        <v>0</v>
      </c>
      <c r="J33" s="138">
        <f t="shared" si="5"/>
        <v>0</v>
      </c>
      <c r="K33" s="142">
        <f t="shared" si="0"/>
        <v>0</v>
      </c>
      <c r="L33" s="142">
        <f t="shared" si="1"/>
        <v>0</v>
      </c>
    </row>
    <row r="34" spans="1:12" x14ac:dyDescent="0.25">
      <c r="A34" s="35"/>
      <c r="B34" s="104" t="s">
        <v>78</v>
      </c>
      <c r="C34" s="47">
        <f>+SUMIF(Info!A:A,B34,Info!I:I)</f>
        <v>0</v>
      </c>
      <c r="D34" s="47">
        <f>+SUMIF(Info!W:W,B34,Info!$U:$U)</f>
        <v>0</v>
      </c>
      <c r="E34" s="47">
        <f t="shared" si="2"/>
        <v>0</v>
      </c>
      <c r="F34" s="139">
        <f t="shared" si="3"/>
        <v>0</v>
      </c>
      <c r="G34" s="143">
        <f>SUMIF(Info!$A:$A,$B34,Info!$J:$J)</f>
        <v>0</v>
      </c>
      <c r="H34" s="139">
        <f t="shared" si="4"/>
        <v>0</v>
      </c>
      <c r="I34" s="143">
        <f>+SUMIF(Info!W:W,B34,Info!V:V)</f>
        <v>0</v>
      </c>
      <c r="J34" s="139">
        <f t="shared" si="5"/>
        <v>0</v>
      </c>
      <c r="K34" s="143">
        <f t="shared" si="0"/>
        <v>0</v>
      </c>
      <c r="L34" s="143">
        <f t="shared" si="1"/>
        <v>0</v>
      </c>
    </row>
    <row r="35" spans="1:12" x14ac:dyDescent="0.25">
      <c r="A35" s="36"/>
      <c r="B35" s="134" t="s">
        <v>79</v>
      </c>
      <c r="C35" s="48">
        <f>+SUMIF(Info!A:A,B35,Info!I:I)</f>
        <v>0</v>
      </c>
      <c r="D35" s="48">
        <f>+SUMIF(Info!W:W,B35,Info!$U:$U)</f>
        <v>0</v>
      </c>
      <c r="E35" s="48">
        <f t="shared" si="2"/>
        <v>0</v>
      </c>
      <c r="F35" s="138">
        <f t="shared" si="3"/>
        <v>0</v>
      </c>
      <c r="G35" s="142">
        <f>SUMIF(Info!$A:$A,$B35,Info!$J:$J)</f>
        <v>0</v>
      </c>
      <c r="H35" s="138">
        <f t="shared" si="4"/>
        <v>0</v>
      </c>
      <c r="I35" s="142">
        <f>+SUMIF(Info!W:W,B35,Info!V:V)</f>
        <v>0</v>
      </c>
      <c r="J35" s="138">
        <f t="shared" si="5"/>
        <v>0</v>
      </c>
      <c r="K35" s="142">
        <f t="shared" si="0"/>
        <v>0</v>
      </c>
      <c r="L35" s="142">
        <f t="shared" si="1"/>
        <v>0</v>
      </c>
    </row>
    <row r="36" spans="1:12" x14ac:dyDescent="0.25">
      <c r="A36" s="35"/>
      <c r="B36" s="104" t="s">
        <v>80</v>
      </c>
      <c r="C36" s="47">
        <f>+SUMIF(Info!A:A,B36,Info!I:I)</f>
        <v>0</v>
      </c>
      <c r="D36" s="47">
        <f>+SUMIF(Info!W:W,B36,Info!$U:$U)</f>
        <v>0</v>
      </c>
      <c r="E36" s="47">
        <f t="shared" si="2"/>
        <v>0</v>
      </c>
      <c r="F36" s="139">
        <f t="shared" si="3"/>
        <v>0</v>
      </c>
      <c r="G36" s="143">
        <f>SUMIF(Info!$A:$A,$B36,Info!$J:$J)</f>
        <v>0</v>
      </c>
      <c r="H36" s="139">
        <f t="shared" si="4"/>
        <v>0</v>
      </c>
      <c r="I36" s="143">
        <f>+SUMIF(Info!W:W,B36,Info!V:V)</f>
        <v>0</v>
      </c>
      <c r="J36" s="139">
        <f t="shared" si="5"/>
        <v>0</v>
      </c>
      <c r="K36" s="143">
        <f t="shared" si="0"/>
        <v>0</v>
      </c>
      <c r="L36" s="143">
        <f t="shared" si="1"/>
        <v>0</v>
      </c>
    </row>
    <row r="37" spans="1:12" x14ac:dyDescent="0.25">
      <c r="A37" s="36"/>
      <c r="B37" s="134" t="s">
        <v>81</v>
      </c>
      <c r="C37" s="48">
        <f>+SUMIF(Info!A:A,B37,Info!I:I)</f>
        <v>0</v>
      </c>
      <c r="D37" s="48">
        <f>+SUMIF(Info!W:W,B37,Info!$U:$U)</f>
        <v>0</v>
      </c>
      <c r="E37" s="48">
        <f t="shared" si="2"/>
        <v>0</v>
      </c>
      <c r="F37" s="138">
        <f t="shared" si="3"/>
        <v>0</v>
      </c>
      <c r="G37" s="142">
        <f>SUMIF(Info!$A:$A,$B37,Info!$J:$J)</f>
        <v>0</v>
      </c>
      <c r="H37" s="138">
        <f t="shared" si="4"/>
        <v>0</v>
      </c>
      <c r="I37" s="142">
        <f>+SUMIF(Info!W:W,B37,Info!V:V)</f>
        <v>0</v>
      </c>
      <c r="J37" s="138">
        <f t="shared" si="5"/>
        <v>0</v>
      </c>
      <c r="K37" s="142">
        <f t="shared" si="0"/>
        <v>0</v>
      </c>
      <c r="L37" s="142">
        <f t="shared" si="1"/>
        <v>0</v>
      </c>
    </row>
    <row r="38" spans="1:12" x14ac:dyDescent="0.25">
      <c r="A38" s="35"/>
      <c r="B38" s="104" t="s">
        <v>82</v>
      </c>
      <c r="C38" s="47">
        <f>+SUMIF(Info!A:A,B38,Info!I:I)</f>
        <v>0</v>
      </c>
      <c r="D38" s="47">
        <f>+SUMIF(Info!W:W,B38,Info!$U:$U)</f>
        <v>0</v>
      </c>
      <c r="E38" s="47">
        <f t="shared" si="2"/>
        <v>0</v>
      </c>
      <c r="F38" s="139">
        <f t="shared" si="3"/>
        <v>0</v>
      </c>
      <c r="G38" s="143">
        <f>SUMIF(Info!$A:$A,$B38,Info!$J:$J)</f>
        <v>0</v>
      </c>
      <c r="H38" s="139">
        <f t="shared" si="4"/>
        <v>0</v>
      </c>
      <c r="I38" s="143">
        <f>+SUMIF(Info!W:W,B38,Info!V:V)</f>
        <v>0</v>
      </c>
      <c r="J38" s="139">
        <f t="shared" si="5"/>
        <v>0</v>
      </c>
      <c r="K38" s="143">
        <f t="shared" si="0"/>
        <v>0</v>
      </c>
      <c r="L38" s="143">
        <f t="shared" si="1"/>
        <v>0</v>
      </c>
    </row>
    <row r="39" spans="1:12" x14ac:dyDescent="0.25">
      <c r="A39" s="36"/>
      <c r="B39" s="134" t="s">
        <v>94</v>
      </c>
      <c r="C39" s="48">
        <f>+SUMIF(Info!A:A,B39,Info!I:I)</f>
        <v>0</v>
      </c>
      <c r="D39" s="48">
        <f>+SUMIF(Info!W:W,B39,Info!$U:$U)</f>
        <v>0</v>
      </c>
      <c r="E39" s="48">
        <f t="shared" si="2"/>
        <v>0</v>
      </c>
      <c r="F39" s="138">
        <f t="shared" si="3"/>
        <v>0</v>
      </c>
      <c r="G39" s="142">
        <f>SUMIF(Info!$A:$A,$B39,Info!$J:$J)</f>
        <v>0</v>
      </c>
      <c r="H39" s="138">
        <f t="shared" si="4"/>
        <v>0</v>
      </c>
      <c r="I39" s="142">
        <f>+SUMIF(Info!W:W,B39,Info!V:V)</f>
        <v>0</v>
      </c>
      <c r="J39" s="138">
        <f t="shared" si="5"/>
        <v>0</v>
      </c>
      <c r="K39" s="142">
        <f t="shared" si="0"/>
        <v>0</v>
      </c>
      <c r="L39" s="142">
        <f t="shared" si="1"/>
        <v>0</v>
      </c>
    </row>
    <row r="40" spans="1:12" x14ac:dyDescent="0.25">
      <c r="A40" s="35"/>
      <c r="B40" s="104" t="s">
        <v>83</v>
      </c>
      <c r="C40" s="47">
        <f>+SUMIF(Info!A:A,B40,Info!I:I)</f>
        <v>0</v>
      </c>
      <c r="D40" s="47">
        <f>+SUMIF(Info!W:W,B40,Info!$U:$U)</f>
        <v>0</v>
      </c>
      <c r="E40" s="47">
        <f t="shared" si="2"/>
        <v>0</v>
      </c>
      <c r="F40" s="139">
        <f t="shared" si="3"/>
        <v>0</v>
      </c>
      <c r="G40" s="143">
        <f>SUMIF(Info!$A:$A,$B40,Info!$J:$J)</f>
        <v>0</v>
      </c>
      <c r="H40" s="139">
        <f t="shared" si="4"/>
        <v>0</v>
      </c>
      <c r="I40" s="143">
        <f>+SUMIF(Info!W:W,B40,Info!V:V)</f>
        <v>0</v>
      </c>
      <c r="J40" s="139">
        <f t="shared" si="5"/>
        <v>0</v>
      </c>
      <c r="K40" s="143">
        <f t="shared" si="0"/>
        <v>0</v>
      </c>
      <c r="L40" s="143">
        <f t="shared" si="1"/>
        <v>0</v>
      </c>
    </row>
    <row r="41" spans="1:12" x14ac:dyDescent="0.25">
      <c r="A41" s="36"/>
      <c r="B41" s="134" t="s">
        <v>84</v>
      </c>
      <c r="C41" s="48">
        <f>+SUMIF(Info!A:A,B41,Info!I:I)</f>
        <v>0</v>
      </c>
      <c r="D41" s="48">
        <f>+SUMIF(Info!W:W,B41,Info!$U:$U)</f>
        <v>0</v>
      </c>
      <c r="E41" s="48">
        <f t="shared" si="2"/>
        <v>0</v>
      </c>
      <c r="F41" s="138">
        <f t="shared" si="3"/>
        <v>0</v>
      </c>
      <c r="G41" s="142">
        <f>SUMIF(Info!$A:$A,$B41,Info!$J:$J)</f>
        <v>0</v>
      </c>
      <c r="H41" s="138">
        <f t="shared" si="4"/>
        <v>0</v>
      </c>
      <c r="I41" s="142">
        <f>+SUMIF(Info!W:W,B41,Info!V:V)</f>
        <v>0</v>
      </c>
      <c r="J41" s="138">
        <f t="shared" si="5"/>
        <v>0</v>
      </c>
      <c r="K41" s="142">
        <f t="shared" si="0"/>
        <v>0</v>
      </c>
      <c r="L41" s="142">
        <f t="shared" si="1"/>
        <v>0</v>
      </c>
    </row>
    <row r="42" spans="1:12" x14ac:dyDescent="0.25">
      <c r="A42" s="35"/>
      <c r="B42" s="104" t="s">
        <v>85</v>
      </c>
      <c r="C42" s="47">
        <f>+SUMIF(Info!A:A,B42,Info!I:I)</f>
        <v>0</v>
      </c>
      <c r="D42" s="47">
        <f>+SUMIF(Info!W:W,B42,Info!$U:$U)</f>
        <v>0</v>
      </c>
      <c r="E42" s="47">
        <f t="shared" si="2"/>
        <v>0</v>
      </c>
      <c r="F42" s="139">
        <f t="shared" si="3"/>
        <v>0</v>
      </c>
      <c r="G42" s="143">
        <f>SUMIF(Info!$A:$A,$B42,Info!$J:$J)</f>
        <v>0</v>
      </c>
      <c r="H42" s="139">
        <f t="shared" si="4"/>
        <v>0</v>
      </c>
      <c r="I42" s="143">
        <f>+SUMIF(Info!W:W,B42,Info!V:V)</f>
        <v>0</v>
      </c>
      <c r="J42" s="139">
        <f t="shared" si="5"/>
        <v>0</v>
      </c>
      <c r="K42" s="143">
        <f t="shared" si="0"/>
        <v>0</v>
      </c>
      <c r="L42" s="143">
        <f t="shared" si="1"/>
        <v>0</v>
      </c>
    </row>
    <row r="43" spans="1:12" x14ac:dyDescent="0.25">
      <c r="A43" s="36"/>
      <c r="B43" s="134" t="s">
        <v>86</v>
      </c>
      <c r="C43" s="48">
        <f>+SUMIF(Info!A:A,B43,Info!I:I)</f>
        <v>0</v>
      </c>
      <c r="D43" s="48">
        <f>+SUMIF(Info!W:W,B43,Info!$U:$U)</f>
        <v>0</v>
      </c>
      <c r="E43" s="48">
        <f t="shared" si="2"/>
        <v>0</v>
      </c>
      <c r="F43" s="138">
        <f t="shared" si="3"/>
        <v>0</v>
      </c>
      <c r="G43" s="142">
        <f>SUMIF(Info!$A:$A,$B43,Info!$J:$J)</f>
        <v>0</v>
      </c>
      <c r="H43" s="138">
        <f t="shared" si="4"/>
        <v>0</v>
      </c>
      <c r="I43" s="142">
        <f>+SUMIF(Info!W:W,B43,Info!V:V)</f>
        <v>0</v>
      </c>
      <c r="J43" s="138">
        <f t="shared" si="5"/>
        <v>0</v>
      </c>
      <c r="K43" s="142">
        <f t="shared" si="0"/>
        <v>0</v>
      </c>
      <c r="L43" s="142">
        <f t="shared" si="1"/>
        <v>0</v>
      </c>
    </row>
    <row r="44" spans="1:12" x14ac:dyDescent="0.25">
      <c r="A44" s="35"/>
      <c r="B44" s="104" t="s">
        <v>87</v>
      </c>
      <c r="C44" s="47">
        <f>+SUMIF(Info!A:A,B44,Info!I:I)</f>
        <v>0</v>
      </c>
      <c r="D44" s="47">
        <f>+SUMIF(Info!W:W,B44,Info!$U:$U)</f>
        <v>0</v>
      </c>
      <c r="E44" s="47">
        <f t="shared" si="2"/>
        <v>0</v>
      </c>
      <c r="F44" s="139">
        <f t="shared" si="3"/>
        <v>0</v>
      </c>
      <c r="G44" s="143">
        <f>SUMIF(Info!$A:$A,$B44,Info!$J:$J)</f>
        <v>0</v>
      </c>
      <c r="H44" s="139">
        <f t="shared" si="4"/>
        <v>0</v>
      </c>
      <c r="I44" s="143">
        <f>+SUMIF(Info!W:W,B44,Info!V:V)</f>
        <v>0</v>
      </c>
      <c r="J44" s="139">
        <f t="shared" si="5"/>
        <v>0</v>
      </c>
      <c r="K44" s="143">
        <f t="shared" si="0"/>
        <v>0</v>
      </c>
      <c r="L44" s="143">
        <f t="shared" si="1"/>
        <v>0</v>
      </c>
    </row>
    <row r="45" spans="1:12" x14ac:dyDescent="0.25">
      <c r="A45" s="36"/>
      <c r="B45" s="134" t="s">
        <v>88</v>
      </c>
      <c r="C45" s="48">
        <f>+SUMIF(Info!A:A,B45,Info!I:I)</f>
        <v>0</v>
      </c>
      <c r="D45" s="48">
        <f>+SUMIF(Info!W:W,B45,Info!$U:$U)</f>
        <v>0</v>
      </c>
      <c r="E45" s="48">
        <f t="shared" si="2"/>
        <v>0</v>
      </c>
      <c r="F45" s="138">
        <f t="shared" si="3"/>
        <v>0</v>
      </c>
      <c r="G45" s="142">
        <f>SUMIF(Info!$A:$A,$B45,Info!$J:$J)</f>
        <v>0</v>
      </c>
      <c r="H45" s="138">
        <f t="shared" si="4"/>
        <v>0</v>
      </c>
      <c r="I45" s="142">
        <f>+SUMIF(Info!W:W,B45,Info!V:V)</f>
        <v>0</v>
      </c>
      <c r="J45" s="138">
        <f t="shared" si="5"/>
        <v>0</v>
      </c>
      <c r="K45" s="142">
        <f t="shared" si="0"/>
        <v>0</v>
      </c>
      <c r="L45" s="142">
        <f t="shared" si="1"/>
        <v>0</v>
      </c>
    </row>
    <row r="46" spans="1:12" x14ac:dyDescent="0.25">
      <c r="A46" s="35"/>
      <c r="B46" s="104" t="s">
        <v>89</v>
      </c>
      <c r="C46" s="47">
        <f>+SUMIF(Info!A:A,B46,Info!I:I)</f>
        <v>0</v>
      </c>
      <c r="D46" s="47">
        <f>+SUMIF(Info!W:W,B46,Info!$U:$U)</f>
        <v>0</v>
      </c>
      <c r="E46" s="47">
        <f t="shared" si="2"/>
        <v>0</v>
      </c>
      <c r="F46" s="139">
        <f t="shared" si="3"/>
        <v>0</v>
      </c>
      <c r="G46" s="143">
        <f>SUMIF(Info!$A:$A,$B46,Info!$J:$J)</f>
        <v>0</v>
      </c>
      <c r="H46" s="139">
        <f t="shared" si="4"/>
        <v>0</v>
      </c>
      <c r="I46" s="143">
        <f>+SUMIF(Info!W:W,B46,Info!V:V)</f>
        <v>0</v>
      </c>
      <c r="J46" s="139">
        <f t="shared" si="5"/>
        <v>0</v>
      </c>
      <c r="K46" s="143">
        <f t="shared" si="0"/>
        <v>0</v>
      </c>
      <c r="L46" s="143">
        <f t="shared" si="1"/>
        <v>0</v>
      </c>
    </row>
    <row r="47" spans="1:12" x14ac:dyDescent="0.25">
      <c r="A47" s="36"/>
      <c r="B47" s="134" t="s">
        <v>90</v>
      </c>
      <c r="C47" s="48">
        <f>+SUMIF(Info!A:A,B47,Info!I:I)</f>
        <v>0</v>
      </c>
      <c r="D47" s="48">
        <f>+SUMIF(Info!W:W,B47,Info!$U:$U)</f>
        <v>0</v>
      </c>
      <c r="E47" s="48">
        <f t="shared" si="2"/>
        <v>0</v>
      </c>
      <c r="F47" s="138">
        <f t="shared" si="3"/>
        <v>0</v>
      </c>
      <c r="G47" s="142">
        <f>SUMIF(Info!$A:$A,$B47,Info!$J:$J)</f>
        <v>0</v>
      </c>
      <c r="H47" s="138">
        <f t="shared" si="4"/>
        <v>0</v>
      </c>
      <c r="I47" s="142">
        <f>+SUMIF(Info!W:W,B47,Info!V:V)</f>
        <v>0</v>
      </c>
      <c r="J47" s="138">
        <f t="shared" si="5"/>
        <v>0</v>
      </c>
      <c r="K47" s="142">
        <f t="shared" si="0"/>
        <v>0</v>
      </c>
      <c r="L47" s="142">
        <f t="shared" si="1"/>
        <v>0</v>
      </c>
    </row>
    <row r="48" spans="1:12" x14ac:dyDescent="0.25">
      <c r="A48" s="35"/>
      <c r="B48" s="104" t="s">
        <v>91</v>
      </c>
      <c r="C48" s="47">
        <f>+SUMIF(Info!A:A,B48,Info!I:I)</f>
        <v>0</v>
      </c>
      <c r="D48" s="47">
        <f>+SUMIF(Info!W:W,B48,Info!$U:$U)</f>
        <v>0</v>
      </c>
      <c r="E48" s="47">
        <f t="shared" si="2"/>
        <v>0</v>
      </c>
      <c r="F48" s="139">
        <f t="shared" si="3"/>
        <v>0</v>
      </c>
      <c r="G48" s="143">
        <f>SUMIF(Info!$A:$A,$B48,Info!$J:$J)</f>
        <v>0</v>
      </c>
      <c r="H48" s="139">
        <f t="shared" si="4"/>
        <v>0</v>
      </c>
      <c r="I48" s="143">
        <f>+SUMIF(Info!W:W,B48,Info!V:V)</f>
        <v>0</v>
      </c>
      <c r="J48" s="139">
        <f t="shared" si="5"/>
        <v>0</v>
      </c>
      <c r="K48" s="143">
        <f t="shared" si="0"/>
        <v>0</v>
      </c>
      <c r="L48" s="143">
        <f t="shared" si="1"/>
        <v>0</v>
      </c>
    </row>
    <row r="49" spans="1:12" x14ac:dyDescent="0.25">
      <c r="A49" s="36"/>
      <c r="B49" s="134"/>
      <c r="C49" s="48">
        <f>+SUMIF(Info!A:A,B49,Info!I:I)</f>
        <v>0</v>
      </c>
      <c r="D49" s="48">
        <f>+SUMIF(Info!W:W,B49,Info!$U:$U)</f>
        <v>0</v>
      </c>
      <c r="E49" s="48">
        <f t="shared" si="2"/>
        <v>0</v>
      </c>
      <c r="F49" s="138">
        <f t="shared" si="3"/>
        <v>0</v>
      </c>
      <c r="G49" s="142">
        <f>SUMIF(Info!$A:$A,$B49,Info!$J:$J)</f>
        <v>0</v>
      </c>
      <c r="H49" s="138">
        <f t="shared" si="4"/>
        <v>0</v>
      </c>
      <c r="I49" s="142">
        <f>+SUMIF(Info!W:W,B49,Info!V:V)</f>
        <v>0</v>
      </c>
      <c r="J49" s="138">
        <f t="shared" si="5"/>
        <v>0</v>
      </c>
      <c r="K49" s="142">
        <f t="shared" si="0"/>
        <v>0</v>
      </c>
      <c r="L49" s="142">
        <f t="shared" si="1"/>
        <v>0</v>
      </c>
    </row>
    <row r="50" spans="1:12" x14ac:dyDescent="0.25">
      <c r="A50" s="35"/>
      <c r="B50" s="104"/>
      <c r="C50" s="47">
        <f>+SUMIF(Info!A:A,B50,Info!I:I)</f>
        <v>0</v>
      </c>
      <c r="D50" s="47">
        <f>+SUMIF(Info!W:W,B50,Info!$U:$U)</f>
        <v>0</v>
      </c>
      <c r="E50" s="47">
        <f t="shared" si="2"/>
        <v>0</v>
      </c>
      <c r="F50" s="139">
        <f t="shared" si="3"/>
        <v>0</v>
      </c>
      <c r="G50" s="143">
        <f>SUMIF(Info!$A:$A,$B50,Info!$J:$J)</f>
        <v>0</v>
      </c>
      <c r="H50" s="139">
        <f t="shared" si="4"/>
        <v>0</v>
      </c>
      <c r="I50" s="143">
        <f>+SUMIF(Info!W:W,B50,Info!V:V)</f>
        <v>0</v>
      </c>
      <c r="J50" s="139">
        <f t="shared" si="5"/>
        <v>0</v>
      </c>
      <c r="K50" s="143">
        <f>IFERROR(J50*D50,0)</f>
        <v>0</v>
      </c>
      <c r="L50" s="143">
        <f>IFERROR(E50*F50,0)</f>
        <v>0</v>
      </c>
    </row>
    <row r="51" spans="1:12" x14ac:dyDescent="0.25">
      <c r="A51" s="36"/>
      <c r="B51" s="103"/>
      <c r="C51" s="48">
        <f>+SUMIF(Info!A:A,B51,Info!I:I)</f>
        <v>0</v>
      </c>
      <c r="D51" s="48">
        <f>+SUMIF(Info!W:W,B51,Info!$U:$U)</f>
        <v>0</v>
      </c>
      <c r="E51" s="48">
        <f t="shared" si="2"/>
        <v>0</v>
      </c>
      <c r="F51" s="138">
        <f t="shared" si="3"/>
        <v>0</v>
      </c>
      <c r="G51" s="142">
        <f>SUMIF(Info!$A:$A,$B51,Info!$J:$J)</f>
        <v>0</v>
      </c>
      <c r="H51" s="138">
        <f t="shared" si="4"/>
        <v>0</v>
      </c>
      <c r="I51" s="142">
        <f>+SUMIF(Info!W:W,B51,Info!V:V)</f>
        <v>0</v>
      </c>
      <c r="J51" s="138">
        <f t="shared" si="5"/>
        <v>0</v>
      </c>
      <c r="K51" s="142">
        <f>IFERROR(J51*D51,0)</f>
        <v>0</v>
      </c>
      <c r="L51" s="142">
        <f>IFERROR(E51*F51,0)</f>
        <v>0</v>
      </c>
    </row>
    <row r="52" spans="1:12" x14ac:dyDescent="0.25">
      <c r="A52" s="31"/>
      <c r="B52" s="32"/>
      <c r="C52" s="33"/>
      <c r="D52" s="34"/>
      <c r="E52" s="34"/>
      <c r="F52" s="140">
        <f t="shared" si="3"/>
        <v>0</v>
      </c>
      <c r="G52" s="144">
        <f>SUMIF(Info!$A:$A,$B52,Info!$J:$J)</f>
        <v>0</v>
      </c>
      <c r="H52" s="140"/>
      <c r="I52" s="144"/>
      <c r="J52" s="140"/>
      <c r="K52" s="144"/>
      <c r="L52" s="144"/>
    </row>
    <row r="53" spans="1:12" x14ac:dyDescent="0.25">
      <c r="A53" s="36"/>
      <c r="B53" s="4" t="s">
        <v>37</v>
      </c>
      <c r="C53" s="48">
        <f>+SUMIF(Info!A:A,B53,Info!I:I)</f>
        <v>0</v>
      </c>
      <c r="D53" s="48">
        <f>+SUMIF(Info!W:W,B53,Info!$U:$U)</f>
        <v>0</v>
      </c>
      <c r="E53" s="48">
        <f>+C53-D53</f>
        <v>0</v>
      </c>
      <c r="F53" s="139">
        <f t="shared" si="3"/>
        <v>0</v>
      </c>
      <c r="G53" s="143">
        <f>SUMIF(Info!$A:$A,$B53,Info!$J:$J)</f>
        <v>0</v>
      </c>
      <c r="H53" s="139">
        <f>IFERROR(IF(I53/$D53=0,0,I53/$D53),0)</f>
        <v>0</v>
      </c>
      <c r="I53" s="143">
        <f>+SUMIF(Info!W:W,B53,Info!V:V)</f>
        <v>0</v>
      </c>
      <c r="J53" s="139">
        <f>IFERROR(F53-H53,0)</f>
        <v>0</v>
      </c>
      <c r="K53" s="143">
        <f>IFERROR(J53*D53,0)</f>
        <v>0</v>
      </c>
      <c r="L53" s="143">
        <f>IFERROR(E53*F53,0)</f>
        <v>0</v>
      </c>
    </row>
    <row r="54" spans="1:12" x14ac:dyDescent="0.25">
      <c r="A54" s="35"/>
      <c r="B54" s="2" t="s">
        <v>38</v>
      </c>
      <c r="C54" s="47">
        <f>+SUMIF(Info!A:A,B54,Info!I:I)</f>
        <v>410185.47</v>
      </c>
      <c r="D54" s="47">
        <f>+SUMIF(Info!W:W,B54,Info!$U:$U)</f>
        <v>0</v>
      </c>
      <c r="E54" s="47">
        <f>+C54-D54</f>
        <v>410185.47</v>
      </c>
      <c r="F54" s="138">
        <f t="shared" si="3"/>
        <v>0.60783752286496162</v>
      </c>
      <c r="G54" s="142">
        <f>SUMIF(Info!$A:$A,$B54,Info!$J:$J)</f>
        <v>249326.12</v>
      </c>
      <c r="H54" s="138">
        <f>IFERROR(IF(I54/$D54=0,0,I54/$D54),0)</f>
        <v>0</v>
      </c>
      <c r="I54" s="142">
        <f>+SUMIF(Info!W:W,B54,Info!V:V)</f>
        <v>0</v>
      </c>
      <c r="J54" s="138">
        <f>IFERROR(F54-H54,0)</f>
        <v>0.60783752286496162</v>
      </c>
      <c r="K54" s="142">
        <f>IFERROR(J54*D54,0)</f>
        <v>0</v>
      </c>
      <c r="L54" s="142">
        <f>IFERROR(E54*F54,0)</f>
        <v>249326.12000000002</v>
      </c>
    </row>
    <row r="55" spans="1:12" x14ac:dyDescent="0.25">
      <c r="A55" s="31"/>
      <c r="B55" s="32"/>
      <c r="C55" s="33"/>
      <c r="D55" s="34"/>
      <c r="E55" s="34"/>
      <c r="F55" s="70"/>
      <c r="G55" s="144"/>
      <c r="H55" s="70"/>
      <c r="I55" s="144"/>
      <c r="J55" s="70"/>
      <c r="K55" s="144"/>
      <c r="L55" s="144"/>
    </row>
    <row r="56" spans="1:12" x14ac:dyDescent="0.25">
      <c r="A56" s="36"/>
      <c r="B56" s="4" t="s">
        <v>30</v>
      </c>
      <c r="C56" s="48"/>
      <c r="D56" s="48"/>
      <c r="E56" s="48"/>
      <c r="F56" s="72"/>
      <c r="G56" s="145">
        <f>IF(D56=$C56,$C56,IF(F56&gt;0,F56*$C56,$C56*F56))</f>
        <v>0</v>
      </c>
      <c r="H56" s="72"/>
      <c r="I56" s="145">
        <f>IF(G56=$C56,$C56,IF(H56&gt;0,H56*$C56,$C56*H56))</f>
        <v>0</v>
      </c>
      <c r="J56" s="72"/>
      <c r="K56" s="145">
        <f>IF(I56=$C56,$C56,IF(J56&gt;0,J56*$C56,$C56*J56))</f>
        <v>0</v>
      </c>
      <c r="L56" s="145">
        <f>IF(K56=$C56,$C56,IF(#REF!&gt;0,#REF!*$C56,$C56*#REF!))</f>
        <v>0</v>
      </c>
    </row>
    <row r="57" spans="1:12" x14ac:dyDescent="0.25">
      <c r="A57" s="37">
        <f>ROW()</f>
        <v>57</v>
      </c>
      <c r="B57" s="38"/>
      <c r="C57" s="49"/>
      <c r="D57" s="50"/>
      <c r="E57" s="50"/>
      <c r="F57" s="73"/>
      <c r="G57" s="146"/>
      <c r="H57" s="73"/>
      <c r="I57" s="146"/>
      <c r="J57" s="73"/>
      <c r="K57" s="146"/>
      <c r="L57" s="74"/>
    </row>
    <row r="58" spans="1:12" s="86" customFormat="1" x14ac:dyDescent="0.25">
      <c r="A58" s="80">
        <f>ROW()</f>
        <v>58</v>
      </c>
      <c r="B58" s="81" t="s">
        <v>16</v>
      </c>
      <c r="C58" s="82">
        <f>+C60-Info!A1</f>
        <v>-34267400</v>
      </c>
      <c r="D58" s="83">
        <f>+D60-Info!W5</f>
        <v>-32762739.68</v>
      </c>
      <c r="E58" s="83"/>
      <c r="F58" s="84"/>
      <c r="G58" s="147">
        <f>+G60-Info!A2</f>
        <v>-20022718.389999997</v>
      </c>
      <c r="H58" s="84"/>
      <c r="I58" s="147">
        <f>+I60-Info!W4</f>
        <v>-16826594.5</v>
      </c>
      <c r="J58" s="84"/>
      <c r="K58" s="147">
        <f>+IF(J10="actual",K60-Info!$A$2,0)</f>
        <v>0</v>
      </c>
      <c r="L58" s="85"/>
    </row>
    <row r="59" spans="1:12" ht="15.75" thickBot="1" x14ac:dyDescent="0.3">
      <c r="A59" s="39"/>
      <c r="B59" s="40"/>
      <c r="C59" s="51"/>
      <c r="D59" s="51"/>
      <c r="E59" s="51"/>
      <c r="F59" s="53"/>
      <c r="G59" s="148"/>
      <c r="H59" s="53"/>
      <c r="I59" s="148"/>
      <c r="J59" s="53"/>
      <c r="K59" s="148"/>
      <c r="L59" s="52"/>
    </row>
    <row r="60" spans="1:12" s="121" customFormat="1" ht="15.75" thickTop="1" x14ac:dyDescent="0.25">
      <c r="A60" s="77"/>
      <c r="B60" s="119" t="s">
        <v>62</v>
      </c>
      <c r="C60" s="120">
        <f>SUM(C12:C57)</f>
        <v>410185.47</v>
      </c>
      <c r="D60" s="120">
        <f>SUM(D12:D57)</f>
        <v>0</v>
      </c>
      <c r="E60" s="120">
        <f>SUM(E12:E57)</f>
        <v>410185.47</v>
      </c>
      <c r="F60" s="136">
        <f>+G60/$C$60</f>
        <v>0.60783752286496162</v>
      </c>
      <c r="G60" s="149">
        <f>SUM(G12:G57)</f>
        <v>249326.12</v>
      </c>
      <c r="H60" s="136">
        <f>+I60/$C$60</f>
        <v>0</v>
      </c>
      <c r="I60" s="149">
        <f>SUM(I12:I57)</f>
        <v>0</v>
      </c>
      <c r="J60" s="136">
        <f>+K60/$C$60</f>
        <v>0</v>
      </c>
      <c r="K60" s="149">
        <f>SUM(K12:K57)</f>
        <v>0</v>
      </c>
      <c r="L60" s="126">
        <f>SUM(L12:L57)</f>
        <v>249326.12000000002</v>
      </c>
    </row>
    <row r="61" spans="1:12" s="121" customFormat="1" ht="15.75" thickBot="1" x14ac:dyDescent="0.3">
      <c r="A61" s="122"/>
      <c r="B61" s="123"/>
      <c r="C61" s="124"/>
      <c r="D61" s="124"/>
      <c r="E61" s="125">
        <f>+E60/C60</f>
        <v>1</v>
      </c>
      <c r="F61" s="137"/>
      <c r="G61" s="150"/>
      <c r="H61" s="137"/>
      <c r="I61" s="150"/>
      <c r="J61" s="137"/>
      <c r="K61" s="150"/>
      <c r="L61" s="127"/>
    </row>
    <row r="62" spans="1:12" ht="15.75" thickBot="1" x14ac:dyDescent="0.3"/>
    <row r="63" spans="1:12" ht="16.5" thickTop="1" thickBot="1" x14ac:dyDescent="0.3">
      <c r="A63" s="77"/>
      <c r="B63" s="79" t="s">
        <v>59</v>
      </c>
      <c r="C63" s="78"/>
      <c r="D63" s="78"/>
      <c r="E63" s="117">
        <f>+(G60-I60)-(G60*E61)</f>
        <v>0</v>
      </c>
    </row>
    <row r="64" spans="1:12" ht="15" customHeight="1" x14ac:dyDescent="0.25">
      <c r="A64" s="129"/>
      <c r="B64" s="118" t="s">
        <v>60</v>
      </c>
      <c r="C64" s="130"/>
      <c r="D64" s="130"/>
      <c r="E64" s="135"/>
    </row>
    <row r="65" spans="1:5" ht="15" customHeight="1" thickBot="1" x14ac:dyDescent="0.3">
      <c r="A65" s="131"/>
      <c r="B65" s="128" t="s">
        <v>61</v>
      </c>
      <c r="C65" s="132"/>
      <c r="D65" s="132"/>
      <c r="E65" s="133">
        <f>+(E64-E61)*G60</f>
        <v>-249326.12</v>
      </c>
    </row>
    <row r="66" spans="1:5" ht="15" customHeight="1" thickTop="1" x14ac:dyDescent="0.25"/>
  </sheetData>
  <sheetProtection formatCells="0"/>
  <protectedRanges>
    <protectedRange sqref="D4:E4" name="Project Duration"/>
    <protectedRange sqref="B7" name="Range38_1"/>
    <protectedRange sqref="C8:E8" name="Range37_1"/>
    <protectedRange sqref="H60 J60 F60" name="Range16_1"/>
    <protectedRange sqref="C52:E52 B58:E58 B59:F59 B52:B56 H59 J59 C55:E55 K60:L60 G60 I60 C60:E60" name="Range15_1"/>
    <protectedRange sqref="I11 H9:H10 J9:J10 G11 K11:L11 F9:F10" name="Months_1"/>
    <protectedRange sqref="C8:E8" name="Project information_1"/>
    <protectedRange sqref="B7:L7" name="Notes and Comments_1"/>
    <protectedRange sqref="B52:B56" name="Trade List_1"/>
    <protectedRange sqref="C55:E55 C52:E52" name="Trade Amount_1"/>
    <protectedRange sqref="B12 B57 C56:E57 C53:E54 C12:E51" name="Range15_2_2"/>
    <protectedRange sqref="B57 B12" name="Trade List_2_2"/>
    <protectedRange sqref="B49:B51" name="Range15_1_1"/>
    <protectedRange sqref="B49:B51" name="Trade List_1_1"/>
    <protectedRange sqref="B60" name="Range15_1_1_1"/>
    <protectedRange sqref="B13:B14 B17" name="Range15_1_1_2"/>
    <protectedRange sqref="B13:B14 B17" name="Trade List_1_1_1"/>
    <protectedRange sqref="B15" name="Range15_2_2_1"/>
    <protectedRange sqref="B15" name="Trade List_2_2_1"/>
  </protectedRanges>
  <mergeCells count="9">
    <mergeCell ref="F9:G9"/>
    <mergeCell ref="H9:I9"/>
    <mergeCell ref="J9:K9"/>
    <mergeCell ref="F11:G11"/>
    <mergeCell ref="H11:I11"/>
    <mergeCell ref="J11:K11"/>
    <mergeCell ref="F10:G10"/>
    <mergeCell ref="H10:I10"/>
    <mergeCell ref="J10:K10"/>
  </mergeCells>
  <pageMargins left="0.11811023622047245" right="0.11811023622047245" top="0.35433070866141736" bottom="0.35433070866141736" header="0" footer="0"/>
  <pageSetup paperSize="8" scale="43" fitToWidth="2" orientation="landscape" r:id="rId1"/>
  <headerFooter>
    <oddFooter>&amp;LPage &amp;P of &amp;N&amp;CCashflow Project Template 05.46&amp;RDate printed: &amp;D</oddFooter>
  </headerFooter>
  <rowBreaks count="1" manualBreakCount="1"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A49"/>
  <sheetViews>
    <sheetView topLeftCell="C1" workbookViewId="0">
      <selection activeCell="AC1" sqref="AC1:BD1048576"/>
    </sheetView>
  </sheetViews>
  <sheetFormatPr defaultRowHeight="15" customHeight="1" x14ac:dyDescent="0.25"/>
  <cols>
    <col min="1" max="1" width="7.5703125" customWidth="1"/>
    <col min="4" max="27" width="9.140625" customWidth="1"/>
  </cols>
  <sheetData>
    <row r="1" spans="1:27" ht="16.5" customHeight="1" thickTop="1" thickBot="1" x14ac:dyDescent="0.3">
      <c r="A1" s="6"/>
      <c r="B1" s="6"/>
      <c r="C1" s="20"/>
      <c r="D1" s="59">
        <f>+Cashflow!E9</f>
        <v>44742</v>
      </c>
      <c r="E1" s="59">
        <f>+EOMONTH(D1,1)</f>
        <v>44773</v>
      </c>
      <c r="F1" s="59">
        <f t="shared" ref="F1:AA1" si="0">+EOMONTH(E1,1)</f>
        <v>44804</v>
      </c>
      <c r="G1" s="59">
        <f t="shared" si="0"/>
        <v>44834</v>
      </c>
      <c r="H1" s="59">
        <f t="shared" si="0"/>
        <v>44865</v>
      </c>
      <c r="I1" s="59">
        <f t="shared" si="0"/>
        <v>44895</v>
      </c>
      <c r="J1" s="59">
        <f t="shared" si="0"/>
        <v>44926</v>
      </c>
      <c r="K1" s="59">
        <f t="shared" si="0"/>
        <v>44957</v>
      </c>
      <c r="L1" s="59">
        <f t="shared" si="0"/>
        <v>44985</v>
      </c>
      <c r="M1" s="59">
        <f t="shared" si="0"/>
        <v>45016</v>
      </c>
      <c r="N1" s="59">
        <f t="shared" si="0"/>
        <v>45046</v>
      </c>
      <c r="O1" s="59">
        <f t="shared" si="0"/>
        <v>45077</v>
      </c>
      <c r="P1" s="59">
        <f t="shared" si="0"/>
        <v>45107</v>
      </c>
      <c r="Q1" s="59">
        <f t="shared" si="0"/>
        <v>45138</v>
      </c>
      <c r="R1" s="59">
        <f t="shared" si="0"/>
        <v>45169</v>
      </c>
      <c r="S1" s="59">
        <f t="shared" si="0"/>
        <v>45199</v>
      </c>
      <c r="T1" s="59">
        <f t="shared" si="0"/>
        <v>45230</v>
      </c>
      <c r="U1" s="59">
        <f t="shared" si="0"/>
        <v>45260</v>
      </c>
      <c r="V1" s="59">
        <f t="shared" si="0"/>
        <v>45291</v>
      </c>
      <c r="W1" s="59">
        <f t="shared" si="0"/>
        <v>45322</v>
      </c>
      <c r="X1" s="59">
        <f t="shared" si="0"/>
        <v>45351</v>
      </c>
      <c r="Y1" s="59">
        <f t="shared" si="0"/>
        <v>45382</v>
      </c>
      <c r="Z1" s="59">
        <f t="shared" si="0"/>
        <v>45412</v>
      </c>
      <c r="AA1" s="59">
        <f t="shared" si="0"/>
        <v>45443</v>
      </c>
    </row>
    <row r="2" spans="1:27" ht="16.5" customHeight="1" thickTop="1" thickBot="1" x14ac:dyDescent="0.3">
      <c r="A2" s="6"/>
      <c r="B2" s="6"/>
      <c r="C2" s="20"/>
      <c r="D2" s="59" t="s">
        <v>7</v>
      </c>
      <c r="E2" s="59" t="s">
        <v>7</v>
      </c>
      <c r="F2" s="59" t="s">
        <v>7</v>
      </c>
      <c r="G2" s="59" t="s">
        <v>7</v>
      </c>
      <c r="H2" s="59" t="s">
        <v>7</v>
      </c>
      <c r="I2" s="59" t="s">
        <v>7</v>
      </c>
      <c r="J2" s="59" t="s">
        <v>7</v>
      </c>
      <c r="K2" s="59" t="s">
        <v>7</v>
      </c>
      <c r="L2" s="59" t="s">
        <v>7</v>
      </c>
      <c r="M2" s="59" t="s">
        <v>7</v>
      </c>
      <c r="N2" s="59" t="s">
        <v>7</v>
      </c>
      <c r="O2" s="59" t="s">
        <v>7</v>
      </c>
      <c r="P2" s="59" t="s">
        <v>7</v>
      </c>
      <c r="Q2" s="59" t="s">
        <v>7</v>
      </c>
      <c r="R2" s="59" t="s">
        <v>7</v>
      </c>
      <c r="S2" s="59" t="s">
        <v>7</v>
      </c>
      <c r="T2" s="59" t="s">
        <v>7</v>
      </c>
      <c r="U2" s="59" t="s">
        <v>7</v>
      </c>
      <c r="V2" s="59" t="s">
        <v>7</v>
      </c>
      <c r="W2" s="59" t="s">
        <v>7</v>
      </c>
      <c r="X2" s="59" t="s">
        <v>7</v>
      </c>
      <c r="Y2" s="59" t="s">
        <v>7</v>
      </c>
      <c r="Z2" s="59" t="s">
        <v>7</v>
      </c>
      <c r="AA2" s="59" t="s">
        <v>7</v>
      </c>
    </row>
    <row r="3" spans="1:27" x14ac:dyDescent="0.25">
      <c r="A3" s="3" t="s">
        <v>17</v>
      </c>
      <c r="B3" s="3"/>
      <c r="C3" s="21">
        <f>+Cashflow!$B$5</f>
        <v>45047.714963159699</v>
      </c>
      <c r="D3" s="19">
        <f>+Cashflow!F78</f>
        <v>232017.08</v>
      </c>
      <c r="E3" s="19">
        <f>+Cashflow!H78</f>
        <v>803650.71</v>
      </c>
      <c r="F3" s="19">
        <f>+Cashflow!J78</f>
        <v>2565436.8200000003</v>
      </c>
      <c r="G3" s="19">
        <f>+Cashflow!L78</f>
        <v>3895434.28</v>
      </c>
      <c r="H3" s="19">
        <f>+Cashflow!N78</f>
        <v>5835545</v>
      </c>
      <c r="I3" s="19">
        <f>+Cashflow!P78</f>
        <v>7531316.3000000017</v>
      </c>
      <c r="J3" s="19">
        <f>+Cashflow!R78</f>
        <v>8713905.5100000016</v>
      </c>
      <c r="K3" s="19">
        <f>+Cashflow!T78</f>
        <v>10895159.489999998</v>
      </c>
      <c r="L3" s="19">
        <f>+Cashflow!V78</f>
        <v>13799724.1</v>
      </c>
      <c r="M3" s="19">
        <f>+Cashflow!X78</f>
        <v>16889192.180000003</v>
      </c>
      <c r="N3" s="19">
        <f>+Cashflow!Z78</f>
        <v>20272044.509999998</v>
      </c>
      <c r="O3" s="19" t="e">
        <f>+Cashflow!#REF!</f>
        <v>#REF!</v>
      </c>
      <c r="P3" s="19" t="e">
        <f>+Cashflow!#REF!</f>
        <v>#REF!</v>
      </c>
      <c r="Q3" s="19" t="e">
        <f>+Cashflow!#REF!</f>
        <v>#REF!</v>
      </c>
      <c r="R3" s="19" t="e">
        <f>+Cashflow!#REF!</f>
        <v>#REF!</v>
      </c>
      <c r="S3" s="19" t="e">
        <f>+Cashflow!#REF!</f>
        <v>#REF!</v>
      </c>
      <c r="T3" s="19" t="e">
        <f>+Cashflow!#REF!</f>
        <v>#REF!</v>
      </c>
      <c r="U3" s="19" t="e">
        <f>+Cashflow!#REF!</f>
        <v>#REF!</v>
      </c>
      <c r="V3" s="19" t="e">
        <f>+Cashflow!#REF!</f>
        <v>#REF!</v>
      </c>
      <c r="W3" s="19" t="e">
        <f>+Cashflow!#REF!</f>
        <v>#REF!</v>
      </c>
      <c r="X3" s="19" t="e">
        <f>+Cashflow!#REF!</f>
        <v>#REF!</v>
      </c>
      <c r="Y3" s="19" t="e">
        <f>+Cashflow!#REF!</f>
        <v>#REF!</v>
      </c>
      <c r="Z3" s="19" t="e">
        <f>+Cashflow!#REF!</f>
        <v>#REF!</v>
      </c>
      <c r="AA3" s="19" t="e">
        <f>+Cashflow!#REF!</f>
        <v>#REF!</v>
      </c>
    </row>
    <row r="4" spans="1:27" ht="19.5" customHeight="1" x14ac:dyDescent="0.25">
      <c r="A4" s="3"/>
      <c r="B4" s="3"/>
      <c r="C4" s="21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</row>
    <row r="5" spans="1:27" ht="19.5" customHeight="1" x14ac:dyDescent="0.25">
      <c r="A5" s="3"/>
      <c r="B5" s="3"/>
      <c r="C5" s="21">
        <v>43349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</row>
    <row r="6" spans="1:27" ht="19.5" customHeight="1" x14ac:dyDescent="0.25">
      <c r="A6" s="3"/>
      <c r="B6" s="3"/>
      <c r="C6" s="21">
        <f t="shared" ref="C6:C28" si="1">+EOMONTH(C5,1)</f>
        <v>43404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ht="19.5" customHeight="1" x14ac:dyDescent="0.25">
      <c r="A7" s="3"/>
      <c r="B7" s="3"/>
      <c r="C7" s="21">
        <f t="shared" si="1"/>
        <v>43434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</row>
    <row r="8" spans="1:27" ht="19.5" customHeight="1" x14ac:dyDescent="0.25">
      <c r="A8" s="3"/>
      <c r="B8" s="3"/>
      <c r="C8" s="21">
        <f t="shared" si="1"/>
        <v>43465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ht="19.5" customHeight="1" x14ac:dyDescent="0.25">
      <c r="A9" s="3"/>
      <c r="B9" s="3"/>
      <c r="C9" s="21">
        <f t="shared" si="1"/>
        <v>43496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ht="19.5" customHeight="1" x14ac:dyDescent="0.25">
      <c r="A10" s="3"/>
      <c r="B10" s="3"/>
      <c r="C10" s="21">
        <f t="shared" si="1"/>
        <v>43524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19.5" customHeight="1" x14ac:dyDescent="0.25">
      <c r="A11" s="3"/>
      <c r="B11" s="3"/>
      <c r="C11" s="21">
        <f t="shared" si="1"/>
        <v>43555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19.5" customHeight="1" x14ac:dyDescent="0.25">
      <c r="A12" s="3"/>
      <c r="B12" s="3"/>
      <c r="C12" s="21">
        <f t="shared" si="1"/>
        <v>43585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19.5" customHeight="1" x14ac:dyDescent="0.25">
      <c r="A13" s="3"/>
      <c r="B13" s="3"/>
      <c r="C13" s="21">
        <f t="shared" si="1"/>
        <v>43616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</row>
    <row r="14" spans="1:27" ht="19.5" customHeight="1" x14ac:dyDescent="0.25">
      <c r="A14" s="3"/>
      <c r="B14" s="3"/>
      <c r="C14" s="21">
        <f t="shared" si="1"/>
        <v>43646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</row>
    <row r="15" spans="1:27" ht="19.5" customHeight="1" x14ac:dyDescent="0.25">
      <c r="A15" s="3"/>
      <c r="B15" s="3"/>
      <c r="C15" s="21">
        <f t="shared" si="1"/>
        <v>43677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</row>
    <row r="16" spans="1:27" ht="19.5" customHeight="1" x14ac:dyDescent="0.25">
      <c r="A16" s="3"/>
      <c r="B16" s="3"/>
      <c r="C16" s="21">
        <f t="shared" si="1"/>
        <v>43708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</row>
    <row r="17" spans="1:27" ht="19.5" customHeight="1" x14ac:dyDescent="0.25">
      <c r="A17" s="3"/>
      <c r="B17" s="3"/>
      <c r="C17" s="21">
        <f t="shared" si="1"/>
        <v>43738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</row>
    <row r="18" spans="1:27" ht="19.5" customHeight="1" x14ac:dyDescent="0.25">
      <c r="A18" s="3"/>
      <c r="B18" s="3"/>
      <c r="C18" s="21">
        <f t="shared" si="1"/>
        <v>43769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</row>
    <row r="19" spans="1:27" ht="19.5" customHeight="1" x14ac:dyDescent="0.25">
      <c r="A19" s="3"/>
      <c r="B19" s="3"/>
      <c r="C19" s="21">
        <f t="shared" si="1"/>
        <v>43799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</row>
    <row r="20" spans="1:27" ht="19.5" customHeight="1" x14ac:dyDescent="0.25">
      <c r="A20" s="3"/>
      <c r="B20" s="3"/>
      <c r="C20" s="21">
        <f t="shared" si="1"/>
        <v>43830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</row>
    <row r="21" spans="1:27" ht="19.5" customHeight="1" x14ac:dyDescent="0.25">
      <c r="A21" s="3"/>
      <c r="B21" s="3"/>
      <c r="C21" s="21">
        <f t="shared" si="1"/>
        <v>43861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 ht="19.5" customHeight="1" x14ac:dyDescent="0.25">
      <c r="A22" s="3"/>
      <c r="B22" s="3"/>
      <c r="C22" s="21">
        <f t="shared" si="1"/>
        <v>43890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 ht="19.5" customHeight="1" x14ac:dyDescent="0.25">
      <c r="A23" s="3"/>
      <c r="B23" s="3"/>
      <c r="C23" s="21">
        <f t="shared" si="1"/>
        <v>43921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  <row r="24" spans="1:27" ht="19.5" customHeight="1" x14ac:dyDescent="0.25">
      <c r="A24" s="3"/>
      <c r="B24" s="3"/>
      <c r="C24" s="21">
        <f t="shared" si="1"/>
        <v>43951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</row>
    <row r="25" spans="1:27" ht="19.5" customHeight="1" x14ac:dyDescent="0.25">
      <c r="A25" s="3"/>
      <c r="B25" s="3"/>
      <c r="C25" s="21">
        <f t="shared" si="1"/>
        <v>43982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</row>
    <row r="26" spans="1:27" ht="19.5" customHeight="1" x14ac:dyDescent="0.25">
      <c r="A26" s="3"/>
      <c r="B26" s="3"/>
      <c r="C26" s="21">
        <f t="shared" si="1"/>
        <v>44012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</row>
    <row r="27" spans="1:27" ht="19.5" customHeight="1" x14ac:dyDescent="0.25">
      <c r="A27" s="3"/>
      <c r="B27" s="3"/>
      <c r="C27" s="21">
        <f t="shared" si="1"/>
        <v>44043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</row>
    <row r="28" spans="1:27" ht="19.5" customHeight="1" x14ac:dyDescent="0.25">
      <c r="A28" s="3"/>
      <c r="B28" s="3"/>
      <c r="C28" s="21">
        <f t="shared" si="1"/>
        <v>44074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</row>
    <row r="29" spans="1:27" x14ac:dyDescent="0.25">
      <c r="C29" s="22"/>
    </row>
    <row r="30" spans="1:27" x14ac:dyDescent="0.25">
      <c r="C30" s="22"/>
    </row>
    <row r="31" spans="1:27" x14ac:dyDescent="0.25">
      <c r="C31" s="22"/>
    </row>
    <row r="32" spans="1:27" x14ac:dyDescent="0.25">
      <c r="C32" s="22"/>
    </row>
    <row r="33" spans="3:3" x14ac:dyDescent="0.25">
      <c r="C33" s="22"/>
    </row>
    <row r="34" spans="3:3" x14ac:dyDescent="0.25">
      <c r="C34" s="22"/>
    </row>
    <row r="35" spans="3:3" x14ac:dyDescent="0.25">
      <c r="C35" s="22"/>
    </row>
    <row r="36" spans="3:3" x14ac:dyDescent="0.25">
      <c r="C36" s="22"/>
    </row>
    <row r="37" spans="3:3" x14ac:dyDescent="0.25">
      <c r="C37" s="22"/>
    </row>
    <row r="38" spans="3:3" x14ac:dyDescent="0.25">
      <c r="C38" s="22"/>
    </row>
    <row r="39" spans="3:3" x14ac:dyDescent="0.25">
      <c r="C39" s="22"/>
    </row>
    <row r="40" spans="3:3" x14ac:dyDescent="0.25">
      <c r="C40" s="22"/>
    </row>
    <row r="41" spans="3:3" x14ac:dyDescent="0.25">
      <c r="C41" s="22"/>
    </row>
    <row r="42" spans="3:3" x14ac:dyDescent="0.25">
      <c r="C42" s="22"/>
    </row>
    <row r="43" spans="3:3" x14ac:dyDescent="0.25">
      <c r="C43" s="22"/>
    </row>
    <row r="44" spans="3:3" x14ac:dyDescent="0.25">
      <c r="C44" s="22"/>
    </row>
    <row r="45" spans="3:3" x14ac:dyDescent="0.25">
      <c r="C45" s="22"/>
    </row>
    <row r="46" spans="3:3" x14ac:dyDescent="0.25">
      <c r="C46" s="22"/>
    </row>
    <row r="47" spans="3:3" x14ac:dyDescent="0.25">
      <c r="C47" s="22"/>
    </row>
    <row r="48" spans="3:3" x14ac:dyDescent="0.25">
      <c r="C48" s="22"/>
    </row>
    <row r="49" spans="3:3" x14ac:dyDescent="0.25">
      <c r="C49" s="22"/>
    </row>
  </sheetData>
  <protectedRanges>
    <protectedRange sqref="W100:AA100 D1:AA1 W70:AA71 H100:I100 E100:F100 E70:F71 K100:L100 K70:L71 H70:I71 N100:O100 N70:O71 Q100:R100 Q70:R71 T100:U100 T70:U71" name="Months"/>
    <protectedRange sqref="D3:AA28 D73:AA98" name="Range15_1"/>
  </protectedRanges>
  <customSheetViews>
    <customSheetView guid="{923E1608-992F-4A46-BF6A-F2A437F78FBE}" hiddenColumns="1" topLeftCell="B1">
      <selection activeCell="I5" sqref="I5"/>
      <pageMargins left="0.7" right="0.7" top="0.75" bottom="0.75" header="0.3" footer="0.3"/>
      <pageSetup paperSize="9" orientation="portrait" r:id="rId1"/>
    </customSheetView>
    <customSheetView guid="{639E89E1-617D-4911-BF17-D7BEC20C5C85}">
      <selection activeCell="D11" sqref="D11"/>
      <pageMargins left="0.7" right="0.7" top="0.75" bottom="0.75" header="0.3" footer="0.3"/>
      <pageSetup paperSize="9" orientation="portrait" r:id="rId2"/>
    </customSheetView>
    <customSheetView guid="{A034CC65-DD99-41D0-9D0E-72666CEF43E7}" hiddenColumns="1" topLeftCell="A28">
      <selection activeCell="A28" sqref="A28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W200"/>
  <sheetViews>
    <sheetView topLeftCell="A70" workbookViewId="0">
      <selection activeCell="C70" sqref="C1:U1048576"/>
    </sheetView>
  </sheetViews>
  <sheetFormatPr defaultRowHeight="15" customHeight="1" x14ac:dyDescent="0.25"/>
  <cols>
    <col min="1" max="1" width="28" style="25" customWidth="1"/>
    <col min="2" max="2" width="18.5703125" style="25" bestFit="1" customWidth="1"/>
    <col min="3" max="7" width="7.42578125" customWidth="1"/>
    <col min="8" max="8" width="5.85546875" customWidth="1"/>
    <col min="9" max="11" width="7.42578125" customWidth="1"/>
    <col min="12" max="12" width="13" customWidth="1"/>
    <col min="13" max="21" width="7.42578125" customWidth="1"/>
    <col min="22" max="22" width="21.85546875" style="25" bestFit="1" customWidth="1"/>
    <col min="23" max="23" width="33" style="25" bestFit="1" customWidth="1"/>
  </cols>
  <sheetData>
    <row r="1" spans="1:23" ht="15.75" x14ac:dyDescent="0.25">
      <c r="A1" s="97">
        <f>SUM(I:I)-I2</f>
        <v>34677585.469999999</v>
      </c>
      <c r="B1" s="62" t="s">
        <v>34</v>
      </c>
      <c r="C1" s="260">
        <v>45047.714963159699</v>
      </c>
      <c r="D1" s="261" t="s">
        <v>11</v>
      </c>
      <c r="E1" s="262"/>
      <c r="F1" s="261" t="s">
        <v>96</v>
      </c>
      <c r="G1" s="261" t="s">
        <v>14</v>
      </c>
      <c r="H1" s="261" t="s">
        <v>97</v>
      </c>
      <c r="I1" s="261" t="s">
        <v>98</v>
      </c>
      <c r="J1" s="261" t="s">
        <v>98</v>
      </c>
      <c r="K1" s="261" t="s">
        <v>98</v>
      </c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62" t="s">
        <v>26</v>
      </c>
      <c r="W1" s="62">
        <f>SUM(R:R)</f>
        <v>15319157.859999999</v>
      </c>
    </row>
    <row r="2" spans="1:23" ht="15.75" x14ac:dyDescent="0.25">
      <c r="A2" s="97">
        <f>SUM(J:J)-J2</f>
        <v>20272044.509999998</v>
      </c>
      <c r="B2" s="62" t="s">
        <v>35</v>
      </c>
      <c r="C2" s="264" t="s">
        <v>99</v>
      </c>
      <c r="D2" s="264" t="s">
        <v>100</v>
      </c>
      <c r="E2" s="264" t="s">
        <v>475</v>
      </c>
      <c r="F2" s="265">
        <v>44774</v>
      </c>
      <c r="G2" s="265">
        <v>45258</v>
      </c>
      <c r="H2" s="266">
        <v>45258</v>
      </c>
      <c r="I2" s="267"/>
      <c r="J2" s="267"/>
      <c r="K2" s="267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62" t="s">
        <v>25</v>
      </c>
      <c r="W2" s="62">
        <f>SUM(S:S)</f>
        <v>1507436.6400000004</v>
      </c>
    </row>
    <row r="3" spans="1:23" ht="15.75" x14ac:dyDescent="0.25">
      <c r="A3" s="62">
        <f>SUM(K:K)</f>
        <v>16564506.060000002</v>
      </c>
      <c r="B3" s="62" t="s">
        <v>36</v>
      </c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62" t="s">
        <v>27</v>
      </c>
      <c r="W3" s="62">
        <f>SUM(T:T)</f>
        <v>15319157.859999999</v>
      </c>
    </row>
    <row r="4" spans="1:23" ht="15.75" x14ac:dyDescent="0.25">
      <c r="A4" s="62"/>
      <c r="B4" s="62"/>
      <c r="C4" s="262"/>
      <c r="D4" s="262"/>
      <c r="E4" s="262"/>
      <c r="F4" s="262"/>
      <c r="G4" s="262"/>
      <c r="H4" s="262"/>
      <c r="I4" s="262"/>
      <c r="J4" s="262"/>
      <c r="K4" s="262"/>
      <c r="L4" s="263"/>
      <c r="M4" s="262"/>
      <c r="N4" s="262"/>
      <c r="O4" s="262"/>
      <c r="P4" s="262"/>
      <c r="Q4" s="261"/>
      <c r="R4" s="261"/>
      <c r="S4" s="262"/>
      <c r="T4" s="262"/>
      <c r="U4" s="261"/>
      <c r="V4" s="62" t="s">
        <v>28</v>
      </c>
      <c r="W4" s="62">
        <f>SUM(V8:V562)</f>
        <v>16826594.5</v>
      </c>
    </row>
    <row r="5" spans="1:23" ht="15.75" x14ac:dyDescent="0.25">
      <c r="A5" s="62"/>
      <c r="B5" s="62"/>
      <c r="C5" s="262"/>
      <c r="D5" s="262"/>
      <c r="E5" s="262"/>
      <c r="F5" s="262"/>
      <c r="G5" s="262"/>
      <c r="H5" s="262"/>
      <c r="I5" s="262"/>
      <c r="J5" s="262"/>
      <c r="K5" s="262"/>
      <c r="L5" s="263"/>
      <c r="M5" s="262"/>
      <c r="N5" s="262"/>
      <c r="O5" s="262"/>
      <c r="P5" s="262"/>
      <c r="Q5" s="262"/>
      <c r="R5" s="262"/>
      <c r="S5" s="262"/>
      <c r="T5" s="262"/>
      <c r="U5" s="262"/>
      <c r="V5" s="62" t="s">
        <v>29</v>
      </c>
      <c r="W5" s="62">
        <f>SUM(U8:U5827)</f>
        <v>32762739.68</v>
      </c>
    </row>
    <row r="6" spans="1:23" ht="15.75" x14ac:dyDescent="0.25">
      <c r="A6" s="62"/>
      <c r="B6" s="62"/>
      <c r="C6" s="262"/>
      <c r="D6" s="262"/>
      <c r="E6" s="262"/>
      <c r="F6" s="262"/>
      <c r="G6" s="262"/>
      <c r="H6" s="262"/>
      <c r="I6" s="262"/>
      <c r="J6" s="262"/>
      <c r="K6" s="262"/>
      <c r="L6" s="263"/>
      <c r="M6" s="262"/>
      <c r="N6" s="262"/>
      <c r="O6" s="262"/>
      <c r="P6" s="262"/>
      <c r="Q6" s="262"/>
      <c r="R6" s="262"/>
      <c r="S6" s="262"/>
      <c r="T6" s="262"/>
      <c r="U6" s="262"/>
      <c r="V6" s="62" t="s">
        <v>49</v>
      </c>
      <c r="W6" s="62" t="e">
        <f>+SUMIF(W9:W250,"McNab Labour",V9:V250)/SUMIF(W9:W250,"McNab Labour",U9:U250)</f>
        <v>#DIV/0!</v>
      </c>
    </row>
    <row r="7" spans="1:23" ht="15.75" x14ac:dyDescent="0.25">
      <c r="A7" s="62"/>
      <c r="B7" s="62"/>
      <c r="C7" s="262"/>
      <c r="D7" s="262"/>
      <c r="E7" s="262"/>
      <c r="F7" s="262"/>
      <c r="G7" s="262"/>
      <c r="H7" s="262"/>
      <c r="I7" s="262"/>
      <c r="J7" s="262"/>
      <c r="K7" s="262"/>
      <c r="L7" s="263"/>
      <c r="M7" s="262"/>
      <c r="N7" s="262"/>
      <c r="O7" s="262"/>
      <c r="P7" s="262"/>
      <c r="Q7" s="262"/>
      <c r="R7" s="262"/>
      <c r="S7" s="262"/>
      <c r="T7" s="262"/>
      <c r="U7" s="262"/>
      <c r="V7" s="62" t="s">
        <v>31</v>
      </c>
      <c r="W7" s="63" t="s">
        <v>32</v>
      </c>
    </row>
    <row r="8" spans="1:23" x14ac:dyDescent="0.25">
      <c r="A8" s="96" t="e">
        <f>+VLOOKUP(H8,Breakup!$G:$H,2,FALSE)</f>
        <v>#N/A</v>
      </c>
      <c r="C8" s="261" t="s">
        <v>101</v>
      </c>
      <c r="D8" s="261" t="s">
        <v>10</v>
      </c>
      <c r="E8" s="261" t="s">
        <v>11</v>
      </c>
      <c r="F8" s="261" t="s">
        <v>102</v>
      </c>
      <c r="G8" s="261" t="s">
        <v>103</v>
      </c>
      <c r="H8" s="261" t="s">
        <v>104</v>
      </c>
      <c r="I8" s="261" t="s">
        <v>105</v>
      </c>
      <c r="J8" s="261" t="s">
        <v>106</v>
      </c>
      <c r="K8" s="261" t="s">
        <v>107</v>
      </c>
      <c r="L8" s="263"/>
      <c r="M8" s="261" t="s">
        <v>101</v>
      </c>
      <c r="N8" s="261" t="s">
        <v>10</v>
      </c>
      <c r="O8" s="261" t="s">
        <v>108</v>
      </c>
      <c r="P8" s="261" t="s">
        <v>109</v>
      </c>
      <c r="Q8" s="261" t="s">
        <v>15</v>
      </c>
      <c r="R8" s="261" t="s">
        <v>110</v>
      </c>
      <c r="S8" s="261" t="s">
        <v>111</v>
      </c>
      <c r="T8" s="261" t="s">
        <v>112</v>
      </c>
      <c r="U8" s="261" t="s">
        <v>113</v>
      </c>
    </row>
    <row r="9" spans="1:23" x14ac:dyDescent="0.25">
      <c r="A9" s="96" t="e">
        <f>+VLOOKUP(H9,Breakup!$G:$H,2,FALSE)</f>
        <v>#N/A</v>
      </c>
      <c r="C9" s="262"/>
      <c r="D9" s="262"/>
      <c r="E9" s="262"/>
      <c r="F9" s="262"/>
      <c r="G9" s="262"/>
      <c r="H9" s="262"/>
      <c r="I9" s="262"/>
      <c r="J9" s="262"/>
      <c r="K9" s="262"/>
      <c r="L9" s="263"/>
      <c r="M9" s="268">
        <v>202209</v>
      </c>
      <c r="N9" s="269">
        <v>45047.714963159699</v>
      </c>
      <c r="O9" s="270"/>
      <c r="P9" s="270"/>
      <c r="Q9" s="270"/>
      <c r="R9" s="270"/>
      <c r="S9" s="270"/>
      <c r="T9" s="270"/>
      <c r="U9" s="270"/>
    </row>
    <row r="10" spans="1:23" x14ac:dyDescent="0.25">
      <c r="A10" s="96" t="str">
        <f>+VLOOKUP(H10,Breakup!$G:$H,2,FALSE)</f>
        <v xml:space="preserve">DESIGN FEES                   </v>
      </c>
      <c r="C10" s="264" t="s">
        <v>114</v>
      </c>
      <c r="D10" s="264" t="s">
        <v>99</v>
      </c>
      <c r="E10" s="264" t="s">
        <v>100</v>
      </c>
      <c r="F10" s="264" t="s">
        <v>115</v>
      </c>
      <c r="G10" s="264" t="s">
        <v>116</v>
      </c>
      <c r="H10" s="264" t="s">
        <v>117</v>
      </c>
      <c r="I10" s="268">
        <v>139640</v>
      </c>
      <c r="J10" s="268">
        <v>115203</v>
      </c>
      <c r="K10" s="268">
        <v>0</v>
      </c>
      <c r="L10" s="263"/>
      <c r="M10" s="271">
        <v>44876</v>
      </c>
      <c r="N10" s="272" t="s">
        <v>476</v>
      </c>
      <c r="O10" s="272" t="s">
        <v>477</v>
      </c>
      <c r="P10" s="272" t="s">
        <v>478</v>
      </c>
      <c r="Q10" s="272" t="s">
        <v>30</v>
      </c>
      <c r="R10" s="273"/>
      <c r="S10" s="274">
        <v>1264</v>
      </c>
      <c r="T10" s="272" t="s">
        <v>118</v>
      </c>
      <c r="U10" s="273"/>
      <c r="V10" s="25">
        <f t="shared" ref="V10:V39" si="0">+IF(P10="LW",T10,R10)+S10</f>
        <v>1264</v>
      </c>
      <c r="W10" s="25" t="e">
        <f>+VLOOKUP(Q10,Breakup!C:D,2,FALSE)</f>
        <v>#N/A</v>
      </c>
    </row>
    <row r="11" spans="1:23" x14ac:dyDescent="0.25">
      <c r="A11" s="96" t="str">
        <f>+VLOOKUP(H11,Breakup!$G:$H,2,FALSE)</f>
        <v xml:space="preserve">Development Management Fee    </v>
      </c>
      <c r="C11" s="264" t="s">
        <v>114</v>
      </c>
      <c r="D11" s="264" t="s">
        <v>99</v>
      </c>
      <c r="E11" s="264" t="s">
        <v>100</v>
      </c>
      <c r="F11" s="264" t="s">
        <v>119</v>
      </c>
      <c r="G11" s="264" t="s">
        <v>116</v>
      </c>
      <c r="H11" s="264" t="s">
        <v>120</v>
      </c>
      <c r="I11" s="268">
        <v>75000</v>
      </c>
      <c r="J11" s="268">
        <v>75000</v>
      </c>
      <c r="K11" s="268">
        <v>75000</v>
      </c>
      <c r="L11" s="263"/>
      <c r="M11" s="271">
        <v>44998</v>
      </c>
      <c r="N11" s="272" t="s">
        <v>495</v>
      </c>
      <c r="O11" s="272" t="s">
        <v>486</v>
      </c>
      <c r="P11" s="272" t="s">
        <v>487</v>
      </c>
      <c r="Q11" s="272" t="s">
        <v>30</v>
      </c>
      <c r="R11" s="273"/>
      <c r="S11" s="274">
        <v>282.8</v>
      </c>
      <c r="T11" s="272" t="s">
        <v>132</v>
      </c>
      <c r="U11" s="273"/>
      <c r="V11" s="25">
        <f t="shared" si="0"/>
        <v>282.8</v>
      </c>
      <c r="W11" s="25" t="e">
        <f>+VLOOKUP(Q11,Breakup!C:D,2,FALSE)</f>
        <v>#N/A</v>
      </c>
    </row>
    <row r="12" spans="1:23" x14ac:dyDescent="0.25">
      <c r="A12" s="96" t="str">
        <f>+VLOOKUP(H12,Breakup!$G:$H,2,FALSE)</f>
        <v xml:space="preserve">Preliminaries                 </v>
      </c>
      <c r="C12" s="264" t="s">
        <v>114</v>
      </c>
      <c r="D12" s="264" t="s">
        <v>99</v>
      </c>
      <c r="E12" s="264" t="s">
        <v>100</v>
      </c>
      <c r="F12" s="264" t="s">
        <v>119</v>
      </c>
      <c r="G12" s="264" t="s">
        <v>121</v>
      </c>
      <c r="H12" s="264" t="s">
        <v>122</v>
      </c>
      <c r="I12" s="268">
        <v>4315552.5</v>
      </c>
      <c r="J12" s="268">
        <v>2954427.24</v>
      </c>
      <c r="K12" s="268">
        <v>2667011.44</v>
      </c>
      <c r="L12" s="263"/>
      <c r="M12" s="271">
        <v>45007</v>
      </c>
      <c r="N12" s="272" t="s">
        <v>506</v>
      </c>
      <c r="O12" s="272" t="s">
        <v>486</v>
      </c>
      <c r="P12" s="272" t="s">
        <v>487</v>
      </c>
      <c r="Q12" s="272" t="s">
        <v>30</v>
      </c>
      <c r="R12" s="273"/>
      <c r="S12" s="274">
        <v>1043.97</v>
      </c>
      <c r="T12" s="272" t="s">
        <v>132</v>
      </c>
      <c r="U12" s="273"/>
      <c r="V12" s="25">
        <f t="shared" si="0"/>
        <v>1043.97</v>
      </c>
      <c r="W12" s="25" t="e">
        <f>+VLOOKUP(Q12,Breakup!C:D,2,FALSE)</f>
        <v>#N/A</v>
      </c>
    </row>
    <row r="13" spans="1:23" x14ac:dyDescent="0.25">
      <c r="A13" s="96" t="str">
        <f>+VLOOKUP(H13,Breakup!$G:$H,2,FALSE)</f>
        <v xml:space="preserve">Bulk Earthworks               </v>
      </c>
      <c r="C13" s="264" t="s">
        <v>114</v>
      </c>
      <c r="D13" s="264" t="s">
        <v>99</v>
      </c>
      <c r="E13" s="264" t="s">
        <v>100</v>
      </c>
      <c r="F13" s="264" t="s">
        <v>123</v>
      </c>
      <c r="G13" s="264" t="s">
        <v>116</v>
      </c>
      <c r="H13" s="264" t="s">
        <v>124</v>
      </c>
      <c r="I13" s="268">
        <v>201242</v>
      </c>
      <c r="J13" s="268">
        <v>175423.78</v>
      </c>
      <c r="K13" s="268">
        <v>175423.78</v>
      </c>
      <c r="L13" s="263"/>
      <c r="M13" s="271">
        <v>45009</v>
      </c>
      <c r="N13" s="272" t="s">
        <v>519</v>
      </c>
      <c r="O13" s="272" t="s">
        <v>486</v>
      </c>
      <c r="P13" s="272" t="s">
        <v>487</v>
      </c>
      <c r="Q13" s="272" t="s">
        <v>30</v>
      </c>
      <c r="R13" s="273"/>
      <c r="S13" s="274">
        <v>516.29999999999995</v>
      </c>
      <c r="T13" s="272" t="s">
        <v>132</v>
      </c>
      <c r="U13" s="273"/>
      <c r="V13" s="25">
        <f t="shared" si="0"/>
        <v>516.29999999999995</v>
      </c>
      <c r="W13" s="25" t="e">
        <f>+VLOOKUP(Q13,Breakup!C:D,2,FALSE)</f>
        <v>#N/A</v>
      </c>
    </row>
    <row r="14" spans="1:23" x14ac:dyDescent="0.25">
      <c r="A14" s="96" t="str">
        <f>+VLOOKUP(H14,Breakup!$G:$H,2,FALSE)</f>
        <v xml:space="preserve">Piling                        </v>
      </c>
      <c r="C14" s="264" t="s">
        <v>114</v>
      </c>
      <c r="D14" s="264" t="s">
        <v>99</v>
      </c>
      <c r="E14" s="264" t="s">
        <v>100</v>
      </c>
      <c r="F14" s="264" t="s">
        <v>123</v>
      </c>
      <c r="G14" s="264" t="s">
        <v>121</v>
      </c>
      <c r="H14" s="264" t="s">
        <v>125</v>
      </c>
      <c r="I14" s="268">
        <v>1349563</v>
      </c>
      <c r="J14" s="268">
        <v>1349563</v>
      </c>
      <c r="K14" s="268">
        <v>1349563</v>
      </c>
      <c r="L14" s="263"/>
      <c r="M14" s="271">
        <v>45020</v>
      </c>
      <c r="N14" s="272" t="s">
        <v>532</v>
      </c>
      <c r="O14" s="272" t="s">
        <v>533</v>
      </c>
      <c r="P14" s="272" t="s">
        <v>534</v>
      </c>
      <c r="Q14" s="272" t="s">
        <v>30</v>
      </c>
      <c r="R14" s="273"/>
      <c r="S14" s="274">
        <v>45</v>
      </c>
      <c r="T14" s="272" t="s">
        <v>118</v>
      </c>
      <c r="U14" s="273"/>
      <c r="V14" s="25">
        <f t="shared" si="0"/>
        <v>45</v>
      </c>
      <c r="W14" s="25" t="e">
        <f>+VLOOKUP(Q14,Breakup!C:D,2,FALSE)</f>
        <v>#N/A</v>
      </c>
    </row>
    <row r="15" spans="1:23" x14ac:dyDescent="0.25">
      <c r="A15" s="96" t="str">
        <f>+VLOOKUP(H15,Breakup!$G:$H,2,FALSE)</f>
        <v xml:space="preserve">Termite Treatment             </v>
      </c>
      <c r="C15" s="264" t="s">
        <v>114</v>
      </c>
      <c r="D15" s="264" t="s">
        <v>99</v>
      </c>
      <c r="E15" s="264" t="s">
        <v>100</v>
      </c>
      <c r="F15" s="264" t="s">
        <v>123</v>
      </c>
      <c r="G15" s="264" t="s">
        <v>126</v>
      </c>
      <c r="H15" s="264" t="s">
        <v>127</v>
      </c>
      <c r="I15" s="268">
        <v>8580</v>
      </c>
      <c r="J15" s="268">
        <v>8580</v>
      </c>
      <c r="K15" s="268">
        <v>8580</v>
      </c>
      <c r="L15" s="263"/>
      <c r="M15" s="271">
        <v>45020</v>
      </c>
      <c r="N15" s="272" t="s">
        <v>535</v>
      </c>
      <c r="O15" s="272" t="s">
        <v>533</v>
      </c>
      <c r="P15" s="272" t="s">
        <v>534</v>
      </c>
      <c r="Q15" s="272" t="s">
        <v>30</v>
      </c>
      <c r="R15" s="273"/>
      <c r="S15" s="274">
        <v>138</v>
      </c>
      <c r="T15" s="272" t="s">
        <v>118</v>
      </c>
      <c r="U15" s="273"/>
      <c r="V15" s="25">
        <f t="shared" si="0"/>
        <v>138</v>
      </c>
      <c r="W15" s="25" t="e">
        <f>+VLOOKUP(Q15,Breakup!C:D,2,FALSE)</f>
        <v>#N/A</v>
      </c>
    </row>
    <row r="16" spans="1:23" x14ac:dyDescent="0.25">
      <c r="A16" s="96" t="str">
        <f>+VLOOKUP(H16,Breakup!$G:$H,2,FALSE)</f>
        <v xml:space="preserve">Detailed Excavation           </v>
      </c>
      <c r="C16" s="264" t="s">
        <v>114</v>
      </c>
      <c r="D16" s="264" t="s">
        <v>99</v>
      </c>
      <c r="E16" s="264" t="s">
        <v>100</v>
      </c>
      <c r="F16" s="264" t="s">
        <v>123</v>
      </c>
      <c r="G16" s="264" t="s">
        <v>128</v>
      </c>
      <c r="H16" s="264" t="s">
        <v>129</v>
      </c>
      <c r="I16" s="268">
        <v>91545</v>
      </c>
      <c r="J16" s="268">
        <v>91545</v>
      </c>
      <c r="K16" s="268">
        <v>91545</v>
      </c>
      <c r="L16" s="263"/>
      <c r="M16" s="271">
        <v>45029</v>
      </c>
      <c r="N16" s="272" t="s">
        <v>536</v>
      </c>
      <c r="O16" s="272" t="s">
        <v>537</v>
      </c>
      <c r="P16" s="272" t="s">
        <v>538</v>
      </c>
      <c r="Q16" s="272" t="s">
        <v>30</v>
      </c>
      <c r="R16" s="273"/>
      <c r="S16" s="274">
        <v>10613.4</v>
      </c>
      <c r="T16" s="272" t="s">
        <v>118</v>
      </c>
      <c r="U16" s="273"/>
      <c r="V16" s="25">
        <f t="shared" si="0"/>
        <v>10613.4</v>
      </c>
      <c r="W16" s="25" t="e">
        <f>+VLOOKUP(Q16,Breakup!C:D,2,FALSE)</f>
        <v>#N/A</v>
      </c>
    </row>
    <row r="17" spans="1:23" x14ac:dyDescent="0.25">
      <c r="A17" s="96" t="str">
        <f>+VLOOKUP(H17,Breakup!$G:$H,2,FALSE)</f>
        <v xml:space="preserve">Concrete Supply               </v>
      </c>
      <c r="C17" s="264" t="s">
        <v>114</v>
      </c>
      <c r="D17" s="264" t="s">
        <v>99</v>
      </c>
      <c r="E17" s="264" t="s">
        <v>100</v>
      </c>
      <c r="F17" s="264" t="s">
        <v>123</v>
      </c>
      <c r="G17" s="264" t="s">
        <v>130</v>
      </c>
      <c r="H17" s="264" t="s">
        <v>131</v>
      </c>
      <c r="I17" s="268">
        <v>538076</v>
      </c>
      <c r="J17" s="268">
        <v>479640.94</v>
      </c>
      <c r="K17" s="268">
        <v>479640.94</v>
      </c>
      <c r="L17" s="263"/>
      <c r="M17" s="271">
        <v>45034</v>
      </c>
      <c r="N17" s="272" t="s">
        <v>539</v>
      </c>
      <c r="O17" s="272" t="s">
        <v>496</v>
      </c>
      <c r="P17" s="272" t="s">
        <v>497</v>
      </c>
      <c r="Q17" s="272" t="s">
        <v>30</v>
      </c>
      <c r="R17" s="273"/>
      <c r="S17" s="274">
        <v>391.95</v>
      </c>
      <c r="T17" s="272" t="s">
        <v>132</v>
      </c>
      <c r="U17" s="273"/>
      <c r="V17" s="25">
        <f t="shared" si="0"/>
        <v>391.95</v>
      </c>
      <c r="W17" s="25" t="e">
        <f>+VLOOKUP(Q17,Breakup!C:D,2,FALSE)</f>
        <v>#N/A</v>
      </c>
    </row>
    <row r="18" spans="1:23" x14ac:dyDescent="0.25">
      <c r="A18" s="96" t="str">
        <f>+VLOOKUP(H18,Breakup!$G:$H,2,FALSE)</f>
        <v xml:space="preserve">Concrete Labour               </v>
      </c>
      <c r="C18" s="264" t="s">
        <v>114</v>
      </c>
      <c r="D18" s="264" t="s">
        <v>99</v>
      </c>
      <c r="E18" s="264" t="s">
        <v>100</v>
      </c>
      <c r="F18" s="264" t="s">
        <v>123</v>
      </c>
      <c r="G18" s="264" t="s">
        <v>133</v>
      </c>
      <c r="H18" s="264" t="s">
        <v>134</v>
      </c>
      <c r="I18" s="268">
        <v>529368</v>
      </c>
      <c r="J18" s="268">
        <v>421959.23</v>
      </c>
      <c r="K18" s="268">
        <v>421959.23</v>
      </c>
      <c r="L18" s="263"/>
      <c r="M18" s="271">
        <v>45035</v>
      </c>
      <c r="N18" s="272" t="s">
        <v>540</v>
      </c>
      <c r="O18" s="272" t="s">
        <v>541</v>
      </c>
      <c r="P18" s="272" t="s">
        <v>542</v>
      </c>
      <c r="Q18" s="272" t="s">
        <v>30</v>
      </c>
      <c r="R18" s="273"/>
      <c r="S18" s="274">
        <v>9124.4</v>
      </c>
      <c r="T18" s="272" t="s">
        <v>118</v>
      </c>
      <c r="U18" s="273"/>
      <c r="V18" s="25">
        <f t="shared" si="0"/>
        <v>9124.4</v>
      </c>
      <c r="W18" s="25" t="e">
        <f>+VLOOKUP(Q18,Breakup!C:D,2,FALSE)</f>
        <v>#N/A</v>
      </c>
    </row>
    <row r="19" spans="1:23" x14ac:dyDescent="0.25">
      <c r="A19" s="96" t="str">
        <f>+VLOOKUP(H19,Breakup!$G:$H,2,FALSE)</f>
        <v xml:space="preserve">Concrete Pumping              </v>
      </c>
      <c r="C19" s="264" t="s">
        <v>114</v>
      </c>
      <c r="D19" s="264" t="s">
        <v>99</v>
      </c>
      <c r="E19" s="264" t="s">
        <v>100</v>
      </c>
      <c r="F19" s="264" t="s">
        <v>123</v>
      </c>
      <c r="G19" s="264" t="s">
        <v>135</v>
      </c>
      <c r="H19" s="264" t="s">
        <v>136</v>
      </c>
      <c r="I19" s="268">
        <v>143597</v>
      </c>
      <c r="J19" s="268">
        <v>123823.69</v>
      </c>
      <c r="K19" s="268">
        <v>123823.69</v>
      </c>
      <c r="L19" s="263"/>
      <c r="M19" s="271">
        <v>45035</v>
      </c>
      <c r="N19" s="272" t="s">
        <v>543</v>
      </c>
      <c r="O19" s="272" t="s">
        <v>496</v>
      </c>
      <c r="P19" s="272" t="s">
        <v>497</v>
      </c>
      <c r="Q19" s="272" t="s">
        <v>30</v>
      </c>
      <c r="R19" s="273"/>
      <c r="S19" s="274">
        <v>217.27</v>
      </c>
      <c r="T19" s="272" t="s">
        <v>132</v>
      </c>
      <c r="U19" s="273"/>
      <c r="V19" s="25">
        <f t="shared" si="0"/>
        <v>217.27</v>
      </c>
      <c r="W19" s="25" t="e">
        <f>+VLOOKUP(Q19,Breakup!C:D,2,FALSE)</f>
        <v>#N/A</v>
      </c>
    </row>
    <row r="20" spans="1:23" x14ac:dyDescent="0.25">
      <c r="A20" s="96" t="str">
        <f>+VLOOKUP(H20,Breakup!$G:$H,2,FALSE)</f>
        <v xml:space="preserve">Concrete Testing and Sundries </v>
      </c>
      <c r="C20" s="264" t="s">
        <v>114</v>
      </c>
      <c r="D20" s="264" t="s">
        <v>99</v>
      </c>
      <c r="E20" s="264" t="s">
        <v>100</v>
      </c>
      <c r="F20" s="264" t="s">
        <v>123</v>
      </c>
      <c r="G20" s="264" t="s">
        <v>137</v>
      </c>
      <c r="H20" s="264" t="s">
        <v>138</v>
      </c>
      <c r="I20" s="268">
        <v>62421</v>
      </c>
      <c r="J20" s="268">
        <v>55554.69</v>
      </c>
      <c r="K20" s="268">
        <v>55554.69</v>
      </c>
      <c r="L20" s="263"/>
      <c r="M20" s="271">
        <v>45036</v>
      </c>
      <c r="N20" s="272" t="s">
        <v>544</v>
      </c>
      <c r="O20" s="272" t="s">
        <v>496</v>
      </c>
      <c r="P20" s="272" t="s">
        <v>497</v>
      </c>
      <c r="Q20" s="272" t="s">
        <v>30</v>
      </c>
      <c r="R20" s="273"/>
      <c r="S20" s="274">
        <v>462.01</v>
      </c>
      <c r="T20" s="272" t="s">
        <v>132</v>
      </c>
      <c r="U20" s="273"/>
      <c r="V20" s="25">
        <f t="shared" si="0"/>
        <v>462.01</v>
      </c>
      <c r="W20" s="25" t="e">
        <f>+VLOOKUP(Q20,Breakup!C:D,2,FALSE)</f>
        <v>#N/A</v>
      </c>
    </row>
    <row r="21" spans="1:23" x14ac:dyDescent="0.25">
      <c r="A21" s="96" t="str">
        <f>+VLOOKUP(H21,Breakup!$G:$H,2,FALSE)</f>
        <v xml:space="preserve">Reinforcement Supply          </v>
      </c>
      <c r="C21" s="264" t="s">
        <v>114</v>
      </c>
      <c r="D21" s="264" t="s">
        <v>99</v>
      </c>
      <c r="E21" s="264" t="s">
        <v>100</v>
      </c>
      <c r="F21" s="264" t="s">
        <v>123</v>
      </c>
      <c r="G21" s="264" t="s">
        <v>142</v>
      </c>
      <c r="H21" s="264" t="s">
        <v>143</v>
      </c>
      <c r="I21" s="268">
        <v>727261</v>
      </c>
      <c r="J21" s="268">
        <v>701370.5</v>
      </c>
      <c r="K21" s="268">
        <v>701370.5</v>
      </c>
      <c r="L21" s="263"/>
      <c r="M21" s="271">
        <v>45040</v>
      </c>
      <c r="N21" s="272" t="s">
        <v>545</v>
      </c>
      <c r="O21" s="272" t="s">
        <v>513</v>
      </c>
      <c r="P21" s="272" t="s">
        <v>514</v>
      </c>
      <c r="Q21" s="272" t="s">
        <v>30</v>
      </c>
      <c r="R21" s="273"/>
      <c r="S21" s="274">
        <v>6200</v>
      </c>
      <c r="T21" s="272" t="s">
        <v>118</v>
      </c>
      <c r="U21" s="273"/>
      <c r="V21" s="25">
        <f t="shared" si="0"/>
        <v>6200</v>
      </c>
      <c r="W21" s="25" t="e">
        <f>+VLOOKUP(Q21,Breakup!C:D,2,FALSE)</f>
        <v>#N/A</v>
      </c>
    </row>
    <row r="22" spans="1:23" x14ac:dyDescent="0.25">
      <c r="A22" s="96" t="str">
        <f>+VLOOKUP(H22,Breakup!$G:$H,2,FALSE)</f>
        <v xml:space="preserve">Reinforcement Placing         </v>
      </c>
      <c r="C22" s="264" t="s">
        <v>114</v>
      </c>
      <c r="D22" s="264" t="s">
        <v>99</v>
      </c>
      <c r="E22" s="264" t="s">
        <v>100</v>
      </c>
      <c r="F22" s="264" t="s">
        <v>123</v>
      </c>
      <c r="G22" s="264" t="s">
        <v>146</v>
      </c>
      <c r="H22" s="264" t="s">
        <v>147</v>
      </c>
      <c r="I22" s="268">
        <v>214152</v>
      </c>
      <c r="J22" s="268">
        <v>214152</v>
      </c>
      <c r="K22" s="268">
        <v>214152</v>
      </c>
      <c r="L22" s="263"/>
      <c r="M22" s="271">
        <v>45040</v>
      </c>
      <c r="N22" s="272" t="s">
        <v>546</v>
      </c>
      <c r="O22" s="272" t="s">
        <v>479</v>
      </c>
      <c r="P22" s="272" t="s">
        <v>480</v>
      </c>
      <c r="Q22" s="272" t="s">
        <v>30</v>
      </c>
      <c r="R22" s="273"/>
      <c r="S22" s="274">
        <v>1200</v>
      </c>
      <c r="T22" s="272" t="s">
        <v>132</v>
      </c>
      <c r="U22" s="273"/>
      <c r="V22" s="25">
        <f t="shared" si="0"/>
        <v>1200</v>
      </c>
      <c r="W22" s="25" t="e">
        <f>+VLOOKUP(Q22,Breakup!C:D,2,FALSE)</f>
        <v>#N/A</v>
      </c>
    </row>
    <row r="23" spans="1:23" x14ac:dyDescent="0.25">
      <c r="A23" s="96" t="str">
        <f>+VLOOKUP(H23,Breakup!$G:$H,2,FALSE)</f>
        <v xml:space="preserve">Formwork                      </v>
      </c>
      <c r="C23" s="264" t="s">
        <v>114</v>
      </c>
      <c r="D23" s="264" t="s">
        <v>99</v>
      </c>
      <c r="E23" s="264" t="s">
        <v>100</v>
      </c>
      <c r="F23" s="264" t="s">
        <v>123</v>
      </c>
      <c r="G23" s="264" t="s">
        <v>150</v>
      </c>
      <c r="H23" s="264" t="s">
        <v>151</v>
      </c>
      <c r="I23" s="268">
        <v>994001</v>
      </c>
      <c r="J23" s="268">
        <v>994001</v>
      </c>
      <c r="K23" s="268">
        <v>994001</v>
      </c>
      <c r="L23" s="263"/>
      <c r="M23" s="271">
        <v>45040</v>
      </c>
      <c r="N23" s="272" t="s">
        <v>547</v>
      </c>
      <c r="O23" s="272" t="s">
        <v>515</v>
      </c>
      <c r="P23" s="272" t="s">
        <v>516</v>
      </c>
      <c r="Q23" s="272" t="s">
        <v>30</v>
      </c>
      <c r="R23" s="273"/>
      <c r="S23" s="274">
        <v>37645.47</v>
      </c>
      <c r="T23" s="272" t="s">
        <v>118</v>
      </c>
      <c r="U23" s="273"/>
      <c r="V23" s="25">
        <f t="shared" si="0"/>
        <v>37645.47</v>
      </c>
      <c r="W23" s="25" t="e">
        <f>+VLOOKUP(Q23,Breakup!C:D,2,FALSE)</f>
        <v>#N/A</v>
      </c>
    </row>
    <row r="24" spans="1:23" x14ac:dyDescent="0.25">
      <c r="A24" s="96" t="str">
        <f>+VLOOKUP(H24,Breakup!$G:$H,2,FALSE)</f>
        <v xml:space="preserve">Masonry - Blockwork           </v>
      </c>
      <c r="C24" s="264" t="s">
        <v>114</v>
      </c>
      <c r="D24" s="264" t="s">
        <v>99</v>
      </c>
      <c r="E24" s="264" t="s">
        <v>100</v>
      </c>
      <c r="F24" s="264" t="s">
        <v>123</v>
      </c>
      <c r="G24" s="264" t="s">
        <v>154</v>
      </c>
      <c r="H24" s="264" t="s">
        <v>155</v>
      </c>
      <c r="I24" s="268">
        <v>1817765</v>
      </c>
      <c r="J24" s="268">
        <v>1794679.38</v>
      </c>
      <c r="K24" s="268">
        <v>1794679.38</v>
      </c>
      <c r="L24" s="263"/>
      <c r="M24" s="271">
        <v>45040</v>
      </c>
      <c r="N24" s="272" t="s">
        <v>548</v>
      </c>
      <c r="O24" s="272" t="s">
        <v>507</v>
      </c>
      <c r="P24" s="272" t="s">
        <v>508</v>
      </c>
      <c r="Q24" s="272" t="s">
        <v>30</v>
      </c>
      <c r="R24" s="273"/>
      <c r="S24" s="274">
        <v>148623.5</v>
      </c>
      <c r="T24" s="272" t="s">
        <v>118</v>
      </c>
      <c r="U24" s="273"/>
      <c r="V24" s="25">
        <f t="shared" si="0"/>
        <v>148623.5</v>
      </c>
      <c r="W24" s="25" t="e">
        <f>+VLOOKUP(Q24,Breakup!C:D,2,FALSE)</f>
        <v>#N/A</v>
      </c>
    </row>
    <row r="25" spans="1:23" x14ac:dyDescent="0.25">
      <c r="A25" s="96" t="str">
        <f>+VLOOKUP(H25,Breakup!$G:$H,2,FALSE)</f>
        <v xml:space="preserve">Waterproofing &amp; Tanking       </v>
      </c>
      <c r="C25" s="264" t="s">
        <v>114</v>
      </c>
      <c r="D25" s="264" t="s">
        <v>99</v>
      </c>
      <c r="E25" s="264" t="s">
        <v>100</v>
      </c>
      <c r="F25" s="264" t="s">
        <v>123</v>
      </c>
      <c r="G25" s="264" t="s">
        <v>157</v>
      </c>
      <c r="H25" s="264" t="s">
        <v>158</v>
      </c>
      <c r="I25" s="268">
        <v>256310</v>
      </c>
      <c r="J25" s="268">
        <v>121311.52</v>
      </c>
      <c r="K25" s="268">
        <v>82044.83</v>
      </c>
      <c r="L25" s="263"/>
      <c r="M25" s="271">
        <v>45040</v>
      </c>
      <c r="N25" s="272" t="s">
        <v>549</v>
      </c>
      <c r="O25" s="272" t="s">
        <v>520</v>
      </c>
      <c r="P25" s="272" t="s">
        <v>521</v>
      </c>
      <c r="Q25" s="272" t="s">
        <v>30</v>
      </c>
      <c r="R25" s="273"/>
      <c r="S25" s="274">
        <v>4740</v>
      </c>
      <c r="T25" s="272" t="s">
        <v>118</v>
      </c>
      <c r="U25" s="273"/>
      <c r="V25" s="25">
        <f t="shared" si="0"/>
        <v>4740</v>
      </c>
      <c r="W25" s="25" t="e">
        <f>+VLOOKUP(Q25,Breakup!C:D,2,FALSE)</f>
        <v>#N/A</v>
      </c>
    </row>
    <row r="26" spans="1:23" x14ac:dyDescent="0.25">
      <c r="A26" s="96" t="str">
        <f>+VLOOKUP(H26,Breakup!$G:$H,2,FALSE)</f>
        <v xml:space="preserve">Structural Steel              </v>
      </c>
      <c r="C26" s="264" t="s">
        <v>114</v>
      </c>
      <c r="D26" s="264" t="s">
        <v>99</v>
      </c>
      <c r="E26" s="264" t="s">
        <v>100</v>
      </c>
      <c r="F26" s="264" t="s">
        <v>123</v>
      </c>
      <c r="G26" s="264" t="s">
        <v>161</v>
      </c>
      <c r="H26" s="264" t="s">
        <v>162</v>
      </c>
      <c r="I26" s="268">
        <v>176000</v>
      </c>
      <c r="J26" s="268">
        <v>106145.60000000001</v>
      </c>
      <c r="K26" s="268">
        <v>69344</v>
      </c>
      <c r="L26" s="263"/>
      <c r="M26" s="271">
        <v>45041</v>
      </c>
      <c r="N26" s="272" t="s">
        <v>550</v>
      </c>
      <c r="O26" s="272" t="s">
        <v>522</v>
      </c>
      <c r="P26" s="272" t="s">
        <v>523</v>
      </c>
      <c r="Q26" s="272" t="s">
        <v>30</v>
      </c>
      <c r="R26" s="273"/>
      <c r="S26" s="274">
        <v>70834</v>
      </c>
      <c r="T26" s="272" t="s">
        <v>118</v>
      </c>
      <c r="U26" s="273"/>
      <c r="V26" s="25">
        <f t="shared" si="0"/>
        <v>70834</v>
      </c>
      <c r="W26" s="25" t="e">
        <f>+VLOOKUP(Q26,Breakup!C:D,2,FALSE)</f>
        <v>#N/A</v>
      </c>
    </row>
    <row r="27" spans="1:23" x14ac:dyDescent="0.25">
      <c r="A27" s="96" t="str">
        <f>+VLOOKUP(H27,Breakup!$G:$H,2,FALSE)</f>
        <v xml:space="preserve">Roofing                       </v>
      </c>
      <c r="C27" s="264" t="s">
        <v>114</v>
      </c>
      <c r="D27" s="264" t="s">
        <v>99</v>
      </c>
      <c r="E27" s="264" t="s">
        <v>100</v>
      </c>
      <c r="F27" s="264" t="s">
        <v>123</v>
      </c>
      <c r="G27" s="264" t="s">
        <v>165</v>
      </c>
      <c r="H27" s="264" t="s">
        <v>166</v>
      </c>
      <c r="I27" s="268">
        <v>255327</v>
      </c>
      <c r="J27" s="268">
        <v>218151.38</v>
      </c>
      <c r="K27" s="268">
        <v>0</v>
      </c>
      <c r="L27" s="263"/>
      <c r="M27" s="271">
        <v>45041</v>
      </c>
      <c r="N27" s="272" t="s">
        <v>551</v>
      </c>
      <c r="O27" s="272" t="s">
        <v>552</v>
      </c>
      <c r="P27" s="272" t="s">
        <v>553</v>
      </c>
      <c r="Q27" s="272" t="s">
        <v>30</v>
      </c>
      <c r="R27" s="273"/>
      <c r="S27" s="274">
        <v>58500</v>
      </c>
      <c r="T27" s="272" t="s">
        <v>118</v>
      </c>
      <c r="U27" s="273"/>
      <c r="V27" s="25">
        <f t="shared" si="0"/>
        <v>58500</v>
      </c>
      <c r="W27" s="25" t="e">
        <f>+VLOOKUP(Q27,Breakup!C:D,2,FALSE)</f>
        <v>#N/A</v>
      </c>
    </row>
    <row r="28" spans="1:23" x14ac:dyDescent="0.25">
      <c r="A28" s="96" t="str">
        <f>+VLOOKUP(H28,Breakup!$G:$H,2,FALSE)</f>
        <v xml:space="preserve">Roof Access &amp; Safety          </v>
      </c>
      <c r="C28" s="264" t="s">
        <v>114</v>
      </c>
      <c r="D28" s="264" t="s">
        <v>99</v>
      </c>
      <c r="E28" s="264" t="s">
        <v>100</v>
      </c>
      <c r="F28" s="264" t="s">
        <v>123</v>
      </c>
      <c r="G28" s="264" t="s">
        <v>169</v>
      </c>
      <c r="H28" s="264" t="s">
        <v>170</v>
      </c>
      <c r="I28" s="268">
        <v>28265</v>
      </c>
      <c r="J28" s="268">
        <v>0</v>
      </c>
      <c r="K28" s="268">
        <v>0</v>
      </c>
      <c r="L28" s="263"/>
      <c r="M28" s="271">
        <v>45041</v>
      </c>
      <c r="N28" s="272" t="s">
        <v>554</v>
      </c>
      <c r="O28" s="272" t="s">
        <v>555</v>
      </c>
      <c r="P28" s="272" t="s">
        <v>556</v>
      </c>
      <c r="Q28" s="272" t="s">
        <v>30</v>
      </c>
      <c r="R28" s="273"/>
      <c r="S28" s="274">
        <v>34081</v>
      </c>
      <c r="T28" s="272" t="s">
        <v>118</v>
      </c>
      <c r="U28" s="273"/>
      <c r="V28" s="25">
        <f t="shared" si="0"/>
        <v>34081</v>
      </c>
      <c r="W28" s="25" t="e">
        <f>+VLOOKUP(Q28,Breakup!C:D,2,FALSE)</f>
        <v>#N/A</v>
      </c>
    </row>
    <row r="29" spans="1:23" x14ac:dyDescent="0.25">
      <c r="A29" s="96" t="str">
        <f>+VLOOKUP(H29,Breakup!$G:$H,2,FALSE)</f>
        <v xml:space="preserve">Aluminium Windows and Doors   </v>
      </c>
      <c r="C29" s="264" t="s">
        <v>114</v>
      </c>
      <c r="D29" s="264" t="s">
        <v>99</v>
      </c>
      <c r="E29" s="264" t="s">
        <v>100</v>
      </c>
      <c r="F29" s="264" t="s">
        <v>123</v>
      </c>
      <c r="G29" s="264" t="s">
        <v>173</v>
      </c>
      <c r="H29" s="264" t="s">
        <v>174</v>
      </c>
      <c r="I29" s="268">
        <v>1189248</v>
      </c>
      <c r="J29" s="268">
        <v>819986.49</v>
      </c>
      <c r="K29" s="268">
        <v>551811.06999999995</v>
      </c>
      <c r="L29" s="263"/>
      <c r="M29" s="271">
        <v>45042</v>
      </c>
      <c r="N29" s="272" t="s">
        <v>557</v>
      </c>
      <c r="O29" s="272" t="s">
        <v>558</v>
      </c>
      <c r="P29" s="272" t="s">
        <v>559</v>
      </c>
      <c r="Q29" s="272" t="s">
        <v>30</v>
      </c>
      <c r="R29" s="273"/>
      <c r="S29" s="274">
        <v>27981</v>
      </c>
      <c r="T29" s="272" t="s">
        <v>118</v>
      </c>
      <c r="U29" s="273"/>
      <c r="V29" s="25">
        <f t="shared" si="0"/>
        <v>27981</v>
      </c>
      <c r="W29" s="25" t="e">
        <f>+VLOOKUP(Q29,Breakup!C:D,2,FALSE)</f>
        <v>#N/A</v>
      </c>
    </row>
    <row r="30" spans="1:23" x14ac:dyDescent="0.25">
      <c r="A30" s="96" t="str">
        <f>+VLOOKUP(H30,Breakup!$G:$H,2,FALSE)</f>
        <v xml:space="preserve">Metalwork                     </v>
      </c>
      <c r="C30" s="264" t="s">
        <v>114</v>
      </c>
      <c r="D30" s="264" t="s">
        <v>99</v>
      </c>
      <c r="E30" s="264" t="s">
        <v>100</v>
      </c>
      <c r="F30" s="264" t="s">
        <v>123</v>
      </c>
      <c r="G30" s="264" t="s">
        <v>177</v>
      </c>
      <c r="H30" s="264" t="s">
        <v>178</v>
      </c>
      <c r="I30" s="268">
        <v>646695</v>
      </c>
      <c r="J30" s="268">
        <v>165295.24</v>
      </c>
      <c r="K30" s="268">
        <v>0</v>
      </c>
      <c r="L30" s="263"/>
      <c r="M30" s="271">
        <v>45042</v>
      </c>
      <c r="N30" s="272" t="s">
        <v>560</v>
      </c>
      <c r="O30" s="272" t="s">
        <v>490</v>
      </c>
      <c r="P30" s="272" t="s">
        <v>491</v>
      </c>
      <c r="Q30" s="272" t="s">
        <v>30</v>
      </c>
      <c r="R30" s="273"/>
      <c r="S30" s="274">
        <v>1250</v>
      </c>
      <c r="T30" s="272" t="s">
        <v>118</v>
      </c>
      <c r="U30" s="273"/>
      <c r="V30" s="25">
        <f t="shared" si="0"/>
        <v>1250</v>
      </c>
      <c r="W30" s="25" t="e">
        <f>+VLOOKUP(Q30,Breakup!C:D,2,FALSE)</f>
        <v>#N/A</v>
      </c>
    </row>
    <row r="31" spans="1:23" x14ac:dyDescent="0.25">
      <c r="A31" s="96" t="str">
        <f>+VLOOKUP(H31,Breakup!$G:$H,2,FALSE)</f>
        <v xml:space="preserve">Rubbish/ Laundry Chute System </v>
      </c>
      <c r="C31" s="264" t="s">
        <v>114</v>
      </c>
      <c r="D31" s="264" t="s">
        <v>99</v>
      </c>
      <c r="E31" s="264" t="s">
        <v>100</v>
      </c>
      <c r="F31" s="264" t="s">
        <v>123</v>
      </c>
      <c r="G31" s="264" t="s">
        <v>181</v>
      </c>
      <c r="H31" s="264" t="s">
        <v>182</v>
      </c>
      <c r="I31" s="268">
        <v>20530</v>
      </c>
      <c r="J31" s="268">
        <v>410.6</v>
      </c>
      <c r="K31" s="268">
        <v>410.6</v>
      </c>
      <c r="L31" s="263"/>
      <c r="M31" s="271">
        <v>45042</v>
      </c>
      <c r="N31" s="272" t="s">
        <v>561</v>
      </c>
      <c r="O31" s="272" t="s">
        <v>511</v>
      </c>
      <c r="P31" s="272" t="s">
        <v>512</v>
      </c>
      <c r="Q31" s="272" t="s">
        <v>30</v>
      </c>
      <c r="R31" s="273"/>
      <c r="S31" s="274">
        <v>57877.22</v>
      </c>
      <c r="T31" s="272" t="s">
        <v>118</v>
      </c>
      <c r="U31" s="273"/>
      <c r="V31" s="25">
        <f t="shared" si="0"/>
        <v>57877.22</v>
      </c>
      <c r="W31" s="25" t="e">
        <f>+VLOOKUP(Q31,Breakup!C:D,2,FALSE)</f>
        <v>#N/A</v>
      </c>
    </row>
    <row r="32" spans="1:23" x14ac:dyDescent="0.25">
      <c r="A32" s="96" t="str">
        <f>+VLOOKUP(H32,Breakup!$G:$H,2,FALSE)</f>
        <v xml:space="preserve">Roller Doors                  </v>
      </c>
      <c r="C32" s="264" t="s">
        <v>114</v>
      </c>
      <c r="D32" s="264" t="s">
        <v>99</v>
      </c>
      <c r="E32" s="264" t="s">
        <v>100</v>
      </c>
      <c r="F32" s="264" t="s">
        <v>123</v>
      </c>
      <c r="G32" s="264" t="s">
        <v>185</v>
      </c>
      <c r="H32" s="264" t="s">
        <v>186</v>
      </c>
      <c r="I32" s="268">
        <v>5697</v>
      </c>
      <c r="J32" s="268">
        <v>0</v>
      </c>
      <c r="K32" s="268">
        <v>0</v>
      </c>
      <c r="L32" s="263"/>
      <c r="M32" s="271">
        <v>45042</v>
      </c>
      <c r="N32" s="272" t="s">
        <v>562</v>
      </c>
      <c r="O32" s="272" t="s">
        <v>479</v>
      </c>
      <c r="P32" s="272" t="s">
        <v>480</v>
      </c>
      <c r="Q32" s="272" t="s">
        <v>30</v>
      </c>
      <c r="R32" s="273"/>
      <c r="S32" s="274">
        <v>1200</v>
      </c>
      <c r="T32" s="272" t="s">
        <v>132</v>
      </c>
      <c r="U32" s="273"/>
      <c r="V32" s="25">
        <f t="shared" si="0"/>
        <v>1200</v>
      </c>
      <c r="W32" s="25" t="e">
        <f>+VLOOKUP(Q32,Breakup!C:D,2,FALSE)</f>
        <v>#N/A</v>
      </c>
    </row>
    <row r="33" spans="1:23" x14ac:dyDescent="0.25">
      <c r="A33" s="96" t="str">
        <f>+VLOOKUP(H33,Breakup!$G:$H,2,FALSE)</f>
        <v xml:space="preserve">Carpentry                     </v>
      </c>
      <c r="C33" s="264" t="s">
        <v>114</v>
      </c>
      <c r="D33" s="264" t="s">
        <v>99</v>
      </c>
      <c r="E33" s="264" t="s">
        <v>100</v>
      </c>
      <c r="F33" s="264" t="s">
        <v>123</v>
      </c>
      <c r="G33" s="264" t="s">
        <v>189</v>
      </c>
      <c r="H33" s="264" t="s">
        <v>190</v>
      </c>
      <c r="I33" s="268">
        <v>124888</v>
      </c>
      <c r="J33" s="268">
        <v>51004.25</v>
      </c>
      <c r="K33" s="268">
        <v>22954.41</v>
      </c>
      <c r="L33" s="263"/>
      <c r="M33" s="271">
        <v>45042</v>
      </c>
      <c r="N33" s="272" t="s">
        <v>563</v>
      </c>
      <c r="O33" s="272" t="s">
        <v>498</v>
      </c>
      <c r="P33" s="272" t="s">
        <v>499</v>
      </c>
      <c r="Q33" s="272" t="s">
        <v>30</v>
      </c>
      <c r="R33" s="273"/>
      <c r="S33" s="274">
        <v>556.59</v>
      </c>
      <c r="T33" s="272" t="s">
        <v>132</v>
      </c>
      <c r="U33" s="273"/>
      <c r="V33" s="25">
        <f t="shared" si="0"/>
        <v>556.59</v>
      </c>
      <c r="W33" s="25" t="e">
        <f>+VLOOKUP(Q33,Breakup!C:D,2,FALSE)</f>
        <v>#N/A</v>
      </c>
    </row>
    <row r="34" spans="1:23" x14ac:dyDescent="0.25">
      <c r="A34" s="96" t="str">
        <f>+VLOOKUP(H34,Breakup!$G:$H,2,FALSE)</f>
        <v xml:space="preserve">Trusses                       </v>
      </c>
      <c r="C34" s="264" t="s">
        <v>114</v>
      </c>
      <c r="D34" s="264" t="s">
        <v>99</v>
      </c>
      <c r="E34" s="264" t="s">
        <v>100</v>
      </c>
      <c r="F34" s="264" t="s">
        <v>123</v>
      </c>
      <c r="G34" s="264" t="s">
        <v>192</v>
      </c>
      <c r="H34" s="264" t="s">
        <v>193</v>
      </c>
      <c r="I34" s="268">
        <v>196190</v>
      </c>
      <c r="J34" s="268">
        <v>182338.98</v>
      </c>
      <c r="K34" s="268">
        <v>84243.98</v>
      </c>
      <c r="L34" s="263"/>
      <c r="M34" s="271">
        <v>45042</v>
      </c>
      <c r="N34" s="272" t="s">
        <v>564</v>
      </c>
      <c r="O34" s="272" t="s">
        <v>528</v>
      </c>
      <c r="P34" s="272" t="s">
        <v>529</v>
      </c>
      <c r="Q34" s="272" t="s">
        <v>30</v>
      </c>
      <c r="R34" s="273"/>
      <c r="S34" s="274">
        <v>117993.7</v>
      </c>
      <c r="T34" s="272" t="s">
        <v>118</v>
      </c>
      <c r="U34" s="273"/>
      <c r="V34" s="25">
        <f t="shared" si="0"/>
        <v>117993.7</v>
      </c>
      <c r="W34" s="25" t="e">
        <f>+VLOOKUP(Q34,Breakup!C:D,2,FALSE)</f>
        <v>#N/A</v>
      </c>
    </row>
    <row r="35" spans="1:23" x14ac:dyDescent="0.25">
      <c r="A35" s="96" t="str">
        <f>+VLOOKUP(H35,Breakup!$G:$H,2,FALSE)</f>
        <v xml:space="preserve">Timber Doors and Frames       </v>
      </c>
      <c r="C35" s="264" t="s">
        <v>114</v>
      </c>
      <c r="D35" s="264" t="s">
        <v>99</v>
      </c>
      <c r="E35" s="264" t="s">
        <v>100</v>
      </c>
      <c r="F35" s="264" t="s">
        <v>123</v>
      </c>
      <c r="G35" s="264" t="s">
        <v>196</v>
      </c>
      <c r="H35" s="264" t="s">
        <v>197</v>
      </c>
      <c r="I35" s="268">
        <v>252679</v>
      </c>
      <c r="J35" s="268">
        <v>102739.28</v>
      </c>
      <c r="K35" s="268">
        <v>86416.21</v>
      </c>
      <c r="L35" s="263"/>
      <c r="M35" s="271">
        <v>45042</v>
      </c>
      <c r="N35" s="272" t="s">
        <v>565</v>
      </c>
      <c r="O35" s="272" t="s">
        <v>500</v>
      </c>
      <c r="P35" s="272" t="s">
        <v>501</v>
      </c>
      <c r="Q35" s="272" t="s">
        <v>30</v>
      </c>
      <c r="R35" s="273"/>
      <c r="S35" s="274">
        <v>1187.31</v>
      </c>
      <c r="T35" s="272" t="s">
        <v>132</v>
      </c>
      <c r="U35" s="273"/>
      <c r="V35" s="25">
        <f t="shared" si="0"/>
        <v>1187.31</v>
      </c>
      <c r="W35" s="25" t="e">
        <f>+VLOOKUP(Q35,Breakup!C:D,2,FALSE)</f>
        <v>#N/A</v>
      </c>
    </row>
    <row r="36" spans="1:23" x14ac:dyDescent="0.25">
      <c r="A36" s="96" t="str">
        <f>+VLOOKUP(H36,Breakup!$G:$H,2,FALSE)</f>
        <v xml:space="preserve">Door and Sundry Hardware      </v>
      </c>
      <c r="C36" s="264" t="s">
        <v>114</v>
      </c>
      <c r="D36" s="264" t="s">
        <v>99</v>
      </c>
      <c r="E36" s="264" t="s">
        <v>100</v>
      </c>
      <c r="F36" s="264" t="s">
        <v>123</v>
      </c>
      <c r="G36" s="264" t="s">
        <v>199</v>
      </c>
      <c r="H36" s="264" t="s">
        <v>200</v>
      </c>
      <c r="I36" s="268">
        <v>144710</v>
      </c>
      <c r="J36" s="268">
        <v>0</v>
      </c>
      <c r="K36" s="268">
        <v>0</v>
      </c>
      <c r="L36" s="263"/>
      <c r="M36" s="271">
        <v>45042</v>
      </c>
      <c r="N36" s="272" t="s">
        <v>566</v>
      </c>
      <c r="O36" s="272" t="s">
        <v>567</v>
      </c>
      <c r="P36" s="272" t="s">
        <v>568</v>
      </c>
      <c r="Q36" s="272" t="s">
        <v>30</v>
      </c>
      <c r="R36" s="273"/>
      <c r="S36" s="274">
        <v>178941.9</v>
      </c>
      <c r="T36" s="272" t="s">
        <v>118</v>
      </c>
      <c r="U36" s="273"/>
      <c r="V36" s="25">
        <f t="shared" si="0"/>
        <v>178941.9</v>
      </c>
      <c r="W36" s="25" t="e">
        <f>+VLOOKUP(Q36,Breakup!C:D,2,FALSE)</f>
        <v>#N/A</v>
      </c>
    </row>
    <row r="37" spans="1:23" x14ac:dyDescent="0.25">
      <c r="A37" s="96" t="str">
        <f>+VLOOKUP(H37,Breakup!$G:$H,2,FALSE)</f>
        <v xml:space="preserve">Ceilings and Partitions       </v>
      </c>
      <c r="C37" s="264" t="s">
        <v>114</v>
      </c>
      <c r="D37" s="264" t="s">
        <v>99</v>
      </c>
      <c r="E37" s="264" t="s">
        <v>100</v>
      </c>
      <c r="F37" s="264" t="s">
        <v>123</v>
      </c>
      <c r="G37" s="264" t="s">
        <v>203</v>
      </c>
      <c r="H37" s="264" t="s">
        <v>204</v>
      </c>
      <c r="I37" s="268">
        <v>3016797</v>
      </c>
      <c r="J37" s="268">
        <v>1820636.98</v>
      </c>
      <c r="K37" s="268">
        <v>1121343.44</v>
      </c>
      <c r="L37" s="263"/>
      <c r="M37" s="271">
        <v>45042</v>
      </c>
      <c r="N37" s="272" t="s">
        <v>569</v>
      </c>
      <c r="O37" s="272" t="s">
        <v>502</v>
      </c>
      <c r="P37" s="272" t="s">
        <v>503</v>
      </c>
      <c r="Q37" s="272" t="s">
        <v>30</v>
      </c>
      <c r="R37" s="273"/>
      <c r="S37" s="274">
        <v>542.63</v>
      </c>
      <c r="T37" s="272" t="s">
        <v>118</v>
      </c>
      <c r="U37" s="273"/>
      <c r="V37" s="25">
        <f t="shared" si="0"/>
        <v>542.63</v>
      </c>
      <c r="W37" s="25" t="e">
        <f>+VLOOKUP(Q37,Breakup!C:D,2,FALSE)</f>
        <v>#N/A</v>
      </c>
    </row>
    <row r="38" spans="1:23" x14ac:dyDescent="0.25">
      <c r="A38" s="96" t="str">
        <f>+VLOOKUP(H38,Breakup!$G:$H,2,FALSE)</f>
        <v xml:space="preserve">Toilet Partitions             </v>
      </c>
      <c r="C38" s="264" t="s">
        <v>114</v>
      </c>
      <c r="D38" s="264" t="s">
        <v>99</v>
      </c>
      <c r="E38" s="264" t="s">
        <v>100</v>
      </c>
      <c r="F38" s="264" t="s">
        <v>123</v>
      </c>
      <c r="G38" s="264" t="s">
        <v>207</v>
      </c>
      <c r="H38" s="264" t="s">
        <v>208</v>
      </c>
      <c r="I38" s="268">
        <v>1557</v>
      </c>
      <c r="J38" s="268">
        <v>0</v>
      </c>
      <c r="K38" s="268">
        <v>0</v>
      </c>
      <c r="L38" s="263"/>
      <c r="M38" s="271">
        <v>45042</v>
      </c>
      <c r="N38" s="272" t="s">
        <v>570</v>
      </c>
      <c r="O38" s="272" t="s">
        <v>488</v>
      </c>
      <c r="P38" s="272" t="s">
        <v>489</v>
      </c>
      <c r="Q38" s="272" t="s">
        <v>30</v>
      </c>
      <c r="R38" s="273"/>
      <c r="S38" s="274">
        <v>34183.199999999997</v>
      </c>
      <c r="T38" s="272" t="s">
        <v>118</v>
      </c>
      <c r="U38" s="273"/>
      <c r="V38" s="25">
        <f t="shared" si="0"/>
        <v>34183.199999999997</v>
      </c>
      <c r="W38" s="25" t="e">
        <f>+VLOOKUP(Q38,Breakup!C:D,2,FALSE)</f>
        <v>#N/A</v>
      </c>
    </row>
    <row r="39" spans="1:23" x14ac:dyDescent="0.25">
      <c r="A39" s="96" t="str">
        <f>+VLOOKUP(H39,Breakup!$G:$H,2,FALSE)</f>
        <v xml:space="preserve">Tiling Supply                 </v>
      </c>
      <c r="C39" s="264" t="s">
        <v>114</v>
      </c>
      <c r="D39" s="264" t="s">
        <v>99</v>
      </c>
      <c r="E39" s="264" t="s">
        <v>100</v>
      </c>
      <c r="F39" s="264" t="s">
        <v>123</v>
      </c>
      <c r="G39" s="264" t="s">
        <v>211</v>
      </c>
      <c r="H39" s="264" t="s">
        <v>212</v>
      </c>
      <c r="I39" s="268">
        <v>155550</v>
      </c>
      <c r="J39" s="268">
        <v>7668.61</v>
      </c>
      <c r="K39" s="268">
        <v>0</v>
      </c>
      <c r="L39" s="263"/>
      <c r="M39" s="271">
        <v>45042</v>
      </c>
      <c r="N39" s="272" t="s">
        <v>571</v>
      </c>
      <c r="O39" s="272" t="s">
        <v>504</v>
      </c>
      <c r="P39" s="272" t="s">
        <v>505</v>
      </c>
      <c r="Q39" s="272" t="s">
        <v>30</v>
      </c>
      <c r="R39" s="273"/>
      <c r="S39" s="274">
        <v>3316</v>
      </c>
      <c r="T39" s="272" t="s">
        <v>132</v>
      </c>
      <c r="U39" s="273"/>
      <c r="V39" s="25">
        <f t="shared" si="0"/>
        <v>3316</v>
      </c>
      <c r="W39" s="25" t="e">
        <f>+VLOOKUP(Q39,Breakup!C:D,2,FALSE)</f>
        <v>#N/A</v>
      </c>
    </row>
    <row r="40" spans="1:23" x14ac:dyDescent="0.25">
      <c r="A40" s="96" t="str">
        <f>+VLOOKUP(H40,Breakup!$G:$H,2,FALSE)</f>
        <v xml:space="preserve">Tiling Install                </v>
      </c>
      <c r="C40" s="264" t="s">
        <v>114</v>
      </c>
      <c r="D40" s="264" t="s">
        <v>99</v>
      </c>
      <c r="E40" s="264" t="s">
        <v>100</v>
      </c>
      <c r="F40" s="264" t="s">
        <v>123</v>
      </c>
      <c r="G40" s="264" t="s">
        <v>215</v>
      </c>
      <c r="H40" s="264" t="s">
        <v>216</v>
      </c>
      <c r="I40" s="268">
        <v>383457</v>
      </c>
      <c r="J40" s="268">
        <v>25883.34</v>
      </c>
      <c r="K40" s="268">
        <v>0</v>
      </c>
      <c r="L40" s="263"/>
      <c r="M40" s="271">
        <v>45042</v>
      </c>
      <c r="N40" s="272" t="s">
        <v>572</v>
      </c>
      <c r="O40" s="272" t="s">
        <v>504</v>
      </c>
      <c r="P40" s="272" t="s">
        <v>505</v>
      </c>
      <c r="Q40" s="272" t="s">
        <v>30</v>
      </c>
      <c r="R40" s="273"/>
      <c r="S40" s="274">
        <v>725</v>
      </c>
      <c r="T40" s="272" t="s">
        <v>118</v>
      </c>
      <c r="U40" s="273"/>
      <c r="V40" s="25">
        <f t="shared" ref="V40:V71" si="1">+IF(P40="LW",T40,R40)+S40</f>
        <v>725</v>
      </c>
      <c r="W40" s="25" t="e">
        <f>+VLOOKUP(Q40,Breakup!C:D,2,FALSE)</f>
        <v>#N/A</v>
      </c>
    </row>
    <row r="41" spans="1:23" x14ac:dyDescent="0.25">
      <c r="A41" s="96" t="str">
        <f>+VLOOKUP(H41,Breakup!$G:$H,2,FALSE)</f>
        <v xml:space="preserve">Cladding                      </v>
      </c>
      <c r="C41" s="264" t="s">
        <v>114</v>
      </c>
      <c r="D41" s="264" t="s">
        <v>99</v>
      </c>
      <c r="E41" s="264" t="s">
        <v>100</v>
      </c>
      <c r="F41" s="264" t="s">
        <v>123</v>
      </c>
      <c r="G41" s="264" t="s">
        <v>219</v>
      </c>
      <c r="H41" s="264" t="s">
        <v>220</v>
      </c>
      <c r="I41" s="268">
        <v>64499</v>
      </c>
      <c r="J41" s="268">
        <v>0</v>
      </c>
      <c r="K41" s="268">
        <v>0</v>
      </c>
      <c r="L41" s="263"/>
      <c r="M41" s="271">
        <v>45042</v>
      </c>
      <c r="N41" s="272" t="s">
        <v>573</v>
      </c>
      <c r="O41" s="272" t="s">
        <v>524</v>
      </c>
      <c r="P41" s="272" t="s">
        <v>525</v>
      </c>
      <c r="Q41" s="272" t="s">
        <v>30</v>
      </c>
      <c r="R41" s="273"/>
      <c r="S41" s="274">
        <v>171338.55</v>
      </c>
      <c r="T41" s="272" t="s">
        <v>118</v>
      </c>
      <c r="U41" s="273"/>
      <c r="V41" s="25">
        <f t="shared" si="1"/>
        <v>171338.55</v>
      </c>
      <c r="W41" s="25" t="e">
        <f>+VLOOKUP(Q41,Breakup!C:D,2,FALSE)</f>
        <v>#N/A</v>
      </c>
    </row>
    <row r="42" spans="1:23" x14ac:dyDescent="0.25">
      <c r="A42" s="96" t="str">
        <f>+VLOOKUP(H42,Breakup!$G:$H,2,FALSE)</f>
        <v xml:space="preserve">Floor Coverings               </v>
      </c>
      <c r="C42" s="264" t="s">
        <v>114</v>
      </c>
      <c r="D42" s="264" t="s">
        <v>99</v>
      </c>
      <c r="E42" s="264" t="s">
        <v>100</v>
      </c>
      <c r="F42" s="264" t="s">
        <v>123</v>
      </c>
      <c r="G42" s="264" t="s">
        <v>223</v>
      </c>
      <c r="H42" s="264" t="s">
        <v>224</v>
      </c>
      <c r="I42" s="268">
        <v>1057328</v>
      </c>
      <c r="J42" s="268">
        <v>88286.88</v>
      </c>
      <c r="K42" s="268">
        <v>25164.400000000001</v>
      </c>
      <c r="L42" s="263"/>
      <c r="M42" s="271">
        <v>45042</v>
      </c>
      <c r="N42" s="272" t="s">
        <v>574</v>
      </c>
      <c r="O42" s="272" t="s">
        <v>509</v>
      </c>
      <c r="P42" s="272" t="s">
        <v>510</v>
      </c>
      <c r="Q42" s="272" t="s">
        <v>30</v>
      </c>
      <c r="R42" s="273"/>
      <c r="S42" s="274">
        <v>285.39999999999998</v>
      </c>
      <c r="T42" s="272" t="s">
        <v>132</v>
      </c>
      <c r="U42" s="273"/>
      <c r="V42" s="25">
        <f t="shared" si="1"/>
        <v>285.39999999999998</v>
      </c>
      <c r="W42" s="25" t="e">
        <f>+VLOOKUP(Q42,Breakup!C:D,2,FALSE)</f>
        <v>#N/A</v>
      </c>
    </row>
    <row r="43" spans="1:23" x14ac:dyDescent="0.25">
      <c r="A43" s="96" t="str">
        <f>+VLOOKUP(H43,Breakup!$G:$H,2,FALSE)</f>
        <v xml:space="preserve">Stainless Steel               </v>
      </c>
      <c r="C43" s="264" t="s">
        <v>114</v>
      </c>
      <c r="D43" s="264" t="s">
        <v>99</v>
      </c>
      <c r="E43" s="264" t="s">
        <v>100</v>
      </c>
      <c r="F43" s="264" t="s">
        <v>123</v>
      </c>
      <c r="G43" s="264" t="s">
        <v>228</v>
      </c>
      <c r="H43" s="264" t="s">
        <v>229</v>
      </c>
      <c r="I43" s="268">
        <v>281266</v>
      </c>
      <c r="J43" s="268">
        <v>0</v>
      </c>
      <c r="K43" s="268">
        <v>0</v>
      </c>
      <c r="L43" s="263"/>
      <c r="M43" s="271">
        <v>45043</v>
      </c>
      <c r="N43" s="272" t="s">
        <v>575</v>
      </c>
      <c r="O43" s="272" t="s">
        <v>526</v>
      </c>
      <c r="P43" s="272" t="s">
        <v>527</v>
      </c>
      <c r="Q43" s="272" t="s">
        <v>30</v>
      </c>
      <c r="R43" s="273"/>
      <c r="S43" s="274">
        <v>43386.17</v>
      </c>
      <c r="T43" s="272" t="s">
        <v>118</v>
      </c>
      <c r="U43" s="273"/>
      <c r="V43" s="25">
        <f t="shared" si="1"/>
        <v>43386.17</v>
      </c>
      <c r="W43" s="25" t="e">
        <f>+VLOOKUP(Q43,Breakup!C:D,2,FALSE)</f>
        <v>#N/A</v>
      </c>
    </row>
    <row r="44" spans="1:23" x14ac:dyDescent="0.25">
      <c r="A44" s="96" t="str">
        <f>+VLOOKUP(H44,Breakup!$G:$H,2,FALSE)</f>
        <v xml:space="preserve">Hydraulic Services            </v>
      </c>
      <c r="C44" s="264" t="s">
        <v>114</v>
      </c>
      <c r="D44" s="264" t="s">
        <v>99</v>
      </c>
      <c r="E44" s="264" t="s">
        <v>100</v>
      </c>
      <c r="F44" s="264" t="s">
        <v>123</v>
      </c>
      <c r="G44" s="264" t="s">
        <v>232</v>
      </c>
      <c r="H44" s="264" t="s">
        <v>233</v>
      </c>
      <c r="I44" s="268">
        <v>2420741</v>
      </c>
      <c r="J44" s="268">
        <v>1638115.43</v>
      </c>
      <c r="K44" s="268">
        <v>1410565.78</v>
      </c>
      <c r="L44" s="263"/>
      <c r="M44" s="271">
        <v>45043</v>
      </c>
      <c r="N44" s="272" t="s">
        <v>576</v>
      </c>
      <c r="O44" s="272" t="s">
        <v>530</v>
      </c>
      <c r="P44" s="272" t="s">
        <v>531</v>
      </c>
      <c r="Q44" s="272" t="s">
        <v>30</v>
      </c>
      <c r="R44" s="273"/>
      <c r="S44" s="274">
        <v>1720</v>
      </c>
      <c r="T44" s="272" t="s">
        <v>118</v>
      </c>
      <c r="U44" s="273"/>
      <c r="V44" s="25">
        <f t="shared" si="1"/>
        <v>1720</v>
      </c>
      <c r="W44" s="25" t="e">
        <f>+VLOOKUP(Q44,Breakup!C:D,2,FALSE)</f>
        <v>#N/A</v>
      </c>
    </row>
    <row r="45" spans="1:23" x14ac:dyDescent="0.25">
      <c r="A45" s="96" t="str">
        <f>+VLOOKUP(H45,Breakup!$G:$H,2,FALSE)</f>
        <v xml:space="preserve">Electrical Services           </v>
      </c>
      <c r="C45" s="264" t="s">
        <v>114</v>
      </c>
      <c r="D45" s="264" t="s">
        <v>99</v>
      </c>
      <c r="E45" s="264" t="s">
        <v>100</v>
      </c>
      <c r="F45" s="264" t="s">
        <v>123</v>
      </c>
      <c r="G45" s="264" t="s">
        <v>235</v>
      </c>
      <c r="H45" s="264" t="s">
        <v>236</v>
      </c>
      <c r="I45" s="268">
        <v>2186001</v>
      </c>
      <c r="J45" s="268">
        <v>824996.77</v>
      </c>
      <c r="K45" s="268">
        <v>683343.91</v>
      </c>
      <c r="L45" s="263"/>
      <c r="M45" s="271">
        <v>45044</v>
      </c>
      <c r="N45" s="272" t="s">
        <v>577</v>
      </c>
      <c r="O45" s="272" t="s">
        <v>492</v>
      </c>
      <c r="P45" s="272" t="s">
        <v>493</v>
      </c>
      <c r="Q45" s="272" t="s">
        <v>30</v>
      </c>
      <c r="R45" s="273"/>
      <c r="S45" s="274">
        <v>4247.5</v>
      </c>
      <c r="T45" s="272" t="s">
        <v>118</v>
      </c>
      <c r="U45" s="273"/>
      <c r="V45" s="25">
        <f t="shared" si="1"/>
        <v>4247.5</v>
      </c>
      <c r="W45" s="25" t="e">
        <f>+VLOOKUP(Q45,Breakup!C:D,2,FALSE)</f>
        <v>#N/A</v>
      </c>
    </row>
    <row r="46" spans="1:23" x14ac:dyDescent="0.25">
      <c r="A46" s="96" t="str">
        <f>+VLOOKUP(H46,Breakup!$G:$H,2,FALSE)</f>
        <v xml:space="preserve">Mechanical Services           </v>
      </c>
      <c r="C46" s="264" t="s">
        <v>114</v>
      </c>
      <c r="D46" s="264" t="s">
        <v>99</v>
      </c>
      <c r="E46" s="264" t="s">
        <v>100</v>
      </c>
      <c r="F46" s="264" t="s">
        <v>123</v>
      </c>
      <c r="G46" s="264" t="s">
        <v>237</v>
      </c>
      <c r="H46" s="264" t="s">
        <v>238</v>
      </c>
      <c r="I46" s="268">
        <v>1556200</v>
      </c>
      <c r="J46" s="268">
        <v>1082181.48</v>
      </c>
      <c r="K46" s="268">
        <v>921581.64</v>
      </c>
      <c r="L46" s="263"/>
      <c r="M46" s="271">
        <v>45044</v>
      </c>
      <c r="N46" s="272" t="s">
        <v>578</v>
      </c>
      <c r="O46" s="272" t="s">
        <v>517</v>
      </c>
      <c r="P46" s="272" t="s">
        <v>518</v>
      </c>
      <c r="Q46" s="272" t="s">
        <v>30</v>
      </c>
      <c r="R46" s="273"/>
      <c r="S46" s="274">
        <v>118943.62</v>
      </c>
      <c r="T46" s="272" t="s">
        <v>118</v>
      </c>
      <c r="U46" s="273"/>
      <c r="V46" s="25">
        <f t="shared" si="1"/>
        <v>118943.62</v>
      </c>
      <c r="W46" s="25" t="e">
        <f>+VLOOKUP(Q46,Breakup!C:D,2,FALSE)</f>
        <v>#N/A</v>
      </c>
    </row>
    <row r="47" spans="1:23" x14ac:dyDescent="0.25">
      <c r="A47" s="96" t="str">
        <f>+VLOOKUP(H47,Breakup!$G:$H,2,FALSE)</f>
        <v xml:space="preserve">Fire Services                 </v>
      </c>
      <c r="C47" s="264" t="s">
        <v>114</v>
      </c>
      <c r="D47" s="264" t="s">
        <v>99</v>
      </c>
      <c r="E47" s="264" t="s">
        <v>100</v>
      </c>
      <c r="F47" s="264" t="s">
        <v>123</v>
      </c>
      <c r="G47" s="264" t="s">
        <v>239</v>
      </c>
      <c r="H47" s="264" t="s">
        <v>168</v>
      </c>
      <c r="I47" s="268">
        <v>618960</v>
      </c>
      <c r="J47" s="268">
        <v>503709.64</v>
      </c>
      <c r="K47" s="268">
        <v>412289.25</v>
      </c>
      <c r="L47" s="263"/>
      <c r="M47" s="271">
        <v>45047</v>
      </c>
      <c r="N47" s="272" t="s">
        <v>579</v>
      </c>
      <c r="O47" s="272" t="s">
        <v>580</v>
      </c>
      <c r="P47" s="272" t="s">
        <v>581</v>
      </c>
      <c r="Q47" s="272" t="s">
        <v>30</v>
      </c>
      <c r="R47" s="273"/>
      <c r="S47" s="274">
        <v>7097.58</v>
      </c>
      <c r="T47" s="272" t="s">
        <v>118</v>
      </c>
      <c r="U47" s="273"/>
      <c r="V47" s="25">
        <f t="shared" si="1"/>
        <v>7097.58</v>
      </c>
      <c r="W47" s="25" t="e">
        <f>+VLOOKUP(Q47,Breakup!C:D,2,FALSE)</f>
        <v>#N/A</v>
      </c>
    </row>
    <row r="48" spans="1:23" x14ac:dyDescent="0.25">
      <c r="A48" s="96" t="str">
        <f>+VLOOKUP(H48,Breakup!$G:$H,2,FALSE)</f>
        <v xml:space="preserve">Lift Services                 </v>
      </c>
      <c r="C48" s="264" t="s">
        <v>114</v>
      </c>
      <c r="D48" s="264" t="s">
        <v>99</v>
      </c>
      <c r="E48" s="264" t="s">
        <v>100</v>
      </c>
      <c r="F48" s="264" t="s">
        <v>123</v>
      </c>
      <c r="G48" s="264" t="s">
        <v>240</v>
      </c>
      <c r="H48" s="264" t="s">
        <v>241</v>
      </c>
      <c r="I48" s="268">
        <v>363688</v>
      </c>
      <c r="J48" s="268">
        <v>4509.7299999999996</v>
      </c>
      <c r="K48" s="268">
        <v>4509.7299999999996</v>
      </c>
      <c r="L48" s="263"/>
      <c r="M48" s="264" t="s">
        <v>114</v>
      </c>
      <c r="N48" s="264" t="s">
        <v>99</v>
      </c>
      <c r="O48" s="264" t="s">
        <v>139</v>
      </c>
      <c r="P48" s="264" t="s">
        <v>140</v>
      </c>
      <c r="Q48" s="264" t="s">
        <v>141</v>
      </c>
      <c r="R48" s="268">
        <v>0</v>
      </c>
      <c r="S48" s="268">
        <v>0</v>
      </c>
      <c r="T48" s="268">
        <v>0</v>
      </c>
      <c r="U48" s="268">
        <v>500</v>
      </c>
      <c r="V48" s="25">
        <f t="shared" si="1"/>
        <v>0</v>
      </c>
      <c r="W48" s="25" t="e">
        <f>+VLOOKUP(Q48,Breakup!C:D,2,FALSE)</f>
        <v>#N/A</v>
      </c>
    </row>
    <row r="49" spans="1:23" x14ac:dyDescent="0.25">
      <c r="A49" s="96" t="str">
        <f>+VLOOKUP(H49,Breakup!$G:$H,2,FALSE)</f>
        <v xml:space="preserve">Landscaping                   </v>
      </c>
      <c r="C49" s="264" t="s">
        <v>114</v>
      </c>
      <c r="D49" s="264" t="s">
        <v>99</v>
      </c>
      <c r="E49" s="264" t="s">
        <v>100</v>
      </c>
      <c r="F49" s="264" t="s">
        <v>123</v>
      </c>
      <c r="G49" s="264" t="s">
        <v>242</v>
      </c>
      <c r="H49" s="264" t="s">
        <v>184</v>
      </c>
      <c r="I49" s="268">
        <v>428931</v>
      </c>
      <c r="J49" s="268">
        <v>0</v>
      </c>
      <c r="K49" s="268">
        <v>0</v>
      </c>
      <c r="L49" s="263"/>
      <c r="M49" s="264" t="s">
        <v>114</v>
      </c>
      <c r="N49" s="264" t="s">
        <v>99</v>
      </c>
      <c r="O49" s="264" t="s">
        <v>144</v>
      </c>
      <c r="P49" s="264" t="s">
        <v>140</v>
      </c>
      <c r="Q49" s="264" t="s">
        <v>145</v>
      </c>
      <c r="R49" s="268">
        <v>1750</v>
      </c>
      <c r="S49" s="268">
        <v>0</v>
      </c>
      <c r="T49" s="268">
        <v>1750</v>
      </c>
      <c r="U49" s="268">
        <v>6950</v>
      </c>
      <c r="V49" s="25">
        <f t="shared" si="1"/>
        <v>1750</v>
      </c>
      <c r="W49" s="25" t="e">
        <f>+VLOOKUP(Q49,Breakup!C:D,2,FALSE)</f>
        <v>#N/A</v>
      </c>
    </row>
    <row r="50" spans="1:23" x14ac:dyDescent="0.25">
      <c r="A50" s="96" t="str">
        <f>+VLOOKUP(H50,Breakup!$G:$H,2,FALSE)</f>
        <v xml:space="preserve">Painting                      </v>
      </c>
      <c r="C50" s="264" t="s">
        <v>114</v>
      </c>
      <c r="D50" s="264" t="s">
        <v>99</v>
      </c>
      <c r="E50" s="264" t="s">
        <v>100</v>
      </c>
      <c r="F50" s="264" t="s">
        <v>123</v>
      </c>
      <c r="G50" s="264" t="s">
        <v>245</v>
      </c>
      <c r="H50" s="264" t="s">
        <v>246</v>
      </c>
      <c r="I50" s="268">
        <v>496356</v>
      </c>
      <c r="J50" s="268">
        <v>63384.66</v>
      </c>
      <c r="K50" s="268">
        <v>9927.1200000000008</v>
      </c>
      <c r="L50" s="263"/>
      <c r="M50" s="264" t="s">
        <v>114</v>
      </c>
      <c r="N50" s="264" t="s">
        <v>99</v>
      </c>
      <c r="O50" s="264" t="s">
        <v>148</v>
      </c>
      <c r="P50" s="264" t="s">
        <v>140</v>
      </c>
      <c r="Q50" s="264" t="s">
        <v>149</v>
      </c>
      <c r="R50" s="268">
        <v>0</v>
      </c>
      <c r="S50" s="268">
        <v>0</v>
      </c>
      <c r="T50" s="268">
        <v>0</v>
      </c>
      <c r="U50" s="268">
        <v>0</v>
      </c>
      <c r="V50" s="25">
        <f t="shared" si="1"/>
        <v>0</v>
      </c>
      <c r="W50" s="25" t="e">
        <f>+VLOOKUP(Q50,Breakup!C:D,2,FALSE)</f>
        <v>#N/A</v>
      </c>
    </row>
    <row r="51" spans="1:23" x14ac:dyDescent="0.25">
      <c r="A51" s="96" t="str">
        <f>+VLOOKUP(H51,Breakup!$G:$H,2,FALSE)</f>
        <v xml:space="preserve">Render                        </v>
      </c>
      <c r="C51" s="264" t="s">
        <v>114</v>
      </c>
      <c r="D51" s="264" t="s">
        <v>99</v>
      </c>
      <c r="E51" s="264" t="s">
        <v>100</v>
      </c>
      <c r="F51" s="264" t="s">
        <v>123</v>
      </c>
      <c r="G51" s="264" t="s">
        <v>249</v>
      </c>
      <c r="H51" s="264" t="s">
        <v>250</v>
      </c>
      <c r="I51" s="268">
        <v>283729</v>
      </c>
      <c r="J51" s="268">
        <v>174550.08</v>
      </c>
      <c r="K51" s="268">
        <v>33253.03</v>
      </c>
      <c r="L51" s="263"/>
      <c r="M51" s="264" t="s">
        <v>114</v>
      </c>
      <c r="N51" s="264" t="s">
        <v>99</v>
      </c>
      <c r="O51" s="264" t="s">
        <v>152</v>
      </c>
      <c r="P51" s="264" t="s">
        <v>140</v>
      </c>
      <c r="Q51" s="264" t="s">
        <v>153</v>
      </c>
      <c r="R51" s="268">
        <v>11402.27</v>
      </c>
      <c r="S51" s="268">
        <v>0</v>
      </c>
      <c r="T51" s="268">
        <v>11402.27</v>
      </c>
      <c r="U51" s="268">
        <v>16064.77</v>
      </c>
      <c r="V51" s="25">
        <f t="shared" si="1"/>
        <v>11402.27</v>
      </c>
      <c r="W51" s="25" t="e">
        <f>+VLOOKUP(Q51,Breakup!C:D,2,FALSE)</f>
        <v>#N/A</v>
      </c>
    </row>
    <row r="52" spans="1:23" x14ac:dyDescent="0.25">
      <c r="A52" s="96" t="str">
        <f>+VLOOKUP(H52,Breakup!$G:$H,2,FALSE)</f>
        <v xml:space="preserve">Signage                       </v>
      </c>
      <c r="C52" s="264" t="s">
        <v>114</v>
      </c>
      <c r="D52" s="264" t="s">
        <v>99</v>
      </c>
      <c r="E52" s="264" t="s">
        <v>100</v>
      </c>
      <c r="F52" s="264" t="s">
        <v>123</v>
      </c>
      <c r="G52" s="264" t="s">
        <v>254</v>
      </c>
      <c r="H52" s="264" t="s">
        <v>255</v>
      </c>
      <c r="I52" s="268">
        <v>38210</v>
      </c>
      <c r="J52" s="268">
        <v>0</v>
      </c>
      <c r="K52" s="268">
        <v>0</v>
      </c>
      <c r="L52" s="263"/>
      <c r="M52" s="264" t="s">
        <v>114</v>
      </c>
      <c r="N52" s="264" t="s">
        <v>99</v>
      </c>
      <c r="O52" s="264" t="s">
        <v>156</v>
      </c>
      <c r="P52" s="264" t="s">
        <v>140</v>
      </c>
      <c r="Q52" s="264" t="s">
        <v>481</v>
      </c>
      <c r="R52" s="268">
        <v>4920</v>
      </c>
      <c r="S52" s="268">
        <v>0</v>
      </c>
      <c r="T52" s="268">
        <v>4920</v>
      </c>
      <c r="U52" s="268">
        <v>23160</v>
      </c>
      <c r="V52" s="25">
        <f t="shared" si="1"/>
        <v>4920</v>
      </c>
      <c r="W52" s="25" t="e">
        <f>+VLOOKUP(Q52,Breakup!C:D,2,FALSE)</f>
        <v>#N/A</v>
      </c>
    </row>
    <row r="53" spans="1:23" ht="15" customHeight="1" x14ac:dyDescent="0.25">
      <c r="A53" s="96" t="str">
        <f>+VLOOKUP(H53,Breakup!$G:$H,2,FALSE)</f>
        <v xml:space="preserve">Trade Contingency             </v>
      </c>
      <c r="C53" s="264" t="s">
        <v>114</v>
      </c>
      <c r="D53" s="264" t="s">
        <v>99</v>
      </c>
      <c r="E53" s="264" t="s">
        <v>100</v>
      </c>
      <c r="F53" s="264" t="s">
        <v>123</v>
      </c>
      <c r="G53" s="264" t="s">
        <v>258</v>
      </c>
      <c r="H53" s="264" t="s">
        <v>259</v>
      </c>
      <c r="I53" s="268">
        <v>201521.5</v>
      </c>
      <c r="J53" s="268">
        <v>147634.65</v>
      </c>
      <c r="K53" s="268">
        <v>134213.31</v>
      </c>
      <c r="L53" s="263"/>
      <c r="M53" s="264" t="s">
        <v>114</v>
      </c>
      <c r="N53" s="264" t="s">
        <v>99</v>
      </c>
      <c r="O53" s="264" t="s">
        <v>159</v>
      </c>
      <c r="P53" s="264" t="s">
        <v>140</v>
      </c>
      <c r="Q53" s="264" t="s">
        <v>160</v>
      </c>
      <c r="R53" s="268">
        <v>0</v>
      </c>
      <c r="S53" s="268">
        <v>0</v>
      </c>
      <c r="T53" s="268">
        <v>0</v>
      </c>
      <c r="U53" s="268">
        <v>0</v>
      </c>
      <c r="V53" s="25">
        <f t="shared" si="1"/>
        <v>0</v>
      </c>
      <c r="W53" s="25" t="e">
        <f>+VLOOKUP(Q53,Breakup!C:D,2,FALSE)</f>
        <v>#N/A</v>
      </c>
    </row>
    <row r="54" spans="1:23" ht="15" customHeight="1" x14ac:dyDescent="0.25">
      <c r="A54" s="96" t="str">
        <f>+VLOOKUP(H54,Breakup!$G:$H,2,FALSE)</f>
        <v xml:space="preserve">Joinery &amp; Benchtops           </v>
      </c>
      <c r="C54" s="264" t="s">
        <v>114</v>
      </c>
      <c r="D54" s="264" t="s">
        <v>99</v>
      </c>
      <c r="E54" s="264" t="s">
        <v>100</v>
      </c>
      <c r="F54" s="264" t="s">
        <v>123</v>
      </c>
      <c r="G54" s="264" t="s">
        <v>465</v>
      </c>
      <c r="H54" s="264" t="s">
        <v>263</v>
      </c>
      <c r="I54" s="268">
        <v>1497650</v>
      </c>
      <c r="J54" s="268">
        <v>237677.05</v>
      </c>
      <c r="K54" s="268">
        <v>6589.66</v>
      </c>
      <c r="L54" s="263"/>
      <c r="M54" s="264" t="s">
        <v>114</v>
      </c>
      <c r="N54" s="264" t="s">
        <v>99</v>
      </c>
      <c r="O54" s="264" t="s">
        <v>163</v>
      </c>
      <c r="P54" s="264" t="s">
        <v>140</v>
      </c>
      <c r="Q54" s="264" t="s">
        <v>164</v>
      </c>
      <c r="R54" s="268">
        <v>0</v>
      </c>
      <c r="S54" s="268">
        <v>0</v>
      </c>
      <c r="T54" s="268">
        <v>0</v>
      </c>
      <c r="U54" s="268">
        <v>3800</v>
      </c>
      <c r="V54" s="25">
        <f t="shared" si="1"/>
        <v>0</v>
      </c>
      <c r="W54" s="25" t="e">
        <f>+VLOOKUP(Q54,Breakup!C:D,2,FALSE)</f>
        <v>#N/A</v>
      </c>
    </row>
    <row r="55" spans="1:23" ht="15" customHeight="1" x14ac:dyDescent="0.25">
      <c r="A55" s="96" t="str">
        <f>+VLOOKUP(H55,Breakup!$G:$H,2,FALSE)</f>
        <v xml:space="preserve">Sanitary Hardware/ Hydraulic  </v>
      </c>
      <c r="C55" s="264" t="s">
        <v>114</v>
      </c>
      <c r="D55" s="264" t="s">
        <v>99</v>
      </c>
      <c r="E55" s="264" t="s">
        <v>100</v>
      </c>
      <c r="F55" s="264" t="s">
        <v>123</v>
      </c>
      <c r="G55" s="264" t="s">
        <v>466</v>
      </c>
      <c r="H55" s="264" t="s">
        <v>266</v>
      </c>
      <c r="I55" s="268">
        <v>735256</v>
      </c>
      <c r="J55" s="268">
        <v>34998.18</v>
      </c>
      <c r="K55" s="268">
        <v>29998.44</v>
      </c>
      <c r="L55" s="263"/>
      <c r="M55" s="264" t="s">
        <v>114</v>
      </c>
      <c r="N55" s="264" t="s">
        <v>99</v>
      </c>
      <c r="O55" s="264" t="s">
        <v>167</v>
      </c>
      <c r="P55" s="264" t="s">
        <v>140</v>
      </c>
      <c r="Q55" s="264" t="s">
        <v>168</v>
      </c>
      <c r="R55" s="268">
        <v>0</v>
      </c>
      <c r="S55" s="268">
        <v>0</v>
      </c>
      <c r="T55" s="268">
        <v>0</v>
      </c>
      <c r="U55" s="268">
        <v>0</v>
      </c>
      <c r="V55" s="25">
        <f t="shared" si="1"/>
        <v>0</v>
      </c>
      <c r="W55" s="25" t="e">
        <f>+VLOOKUP(Q55,Breakup!C:D,2,FALSE)</f>
        <v>#N/A</v>
      </c>
    </row>
    <row r="56" spans="1:23" ht="15" customHeight="1" x14ac:dyDescent="0.25">
      <c r="A56" s="96" t="str">
        <f>+VLOOKUP(H56,Breakup!$G:$H,2,FALSE)</f>
        <v xml:space="preserve">Margin Allowance              </v>
      </c>
      <c r="C56" s="264" t="s">
        <v>114</v>
      </c>
      <c r="D56" s="264" t="s">
        <v>99</v>
      </c>
      <c r="E56" s="264" t="s">
        <v>100</v>
      </c>
      <c r="F56" s="264" t="s">
        <v>262</v>
      </c>
      <c r="G56" s="264" t="s">
        <v>116</v>
      </c>
      <c r="H56" s="264" t="s">
        <v>292</v>
      </c>
      <c r="I56" s="268">
        <v>3108400</v>
      </c>
      <c r="J56" s="268">
        <v>1816238.12</v>
      </c>
      <c r="K56" s="268">
        <v>1512236.6</v>
      </c>
      <c r="L56" s="263"/>
      <c r="M56" s="264" t="s">
        <v>114</v>
      </c>
      <c r="N56" s="264" t="s">
        <v>99</v>
      </c>
      <c r="O56" s="264" t="s">
        <v>171</v>
      </c>
      <c r="P56" s="264" t="s">
        <v>140</v>
      </c>
      <c r="Q56" s="264" t="s">
        <v>172</v>
      </c>
      <c r="R56" s="268">
        <v>2500</v>
      </c>
      <c r="S56" s="268">
        <v>0</v>
      </c>
      <c r="T56" s="268">
        <v>2500</v>
      </c>
      <c r="U56" s="268">
        <v>5570</v>
      </c>
      <c r="V56" s="25">
        <f t="shared" si="1"/>
        <v>2500</v>
      </c>
      <c r="W56" s="25" t="e">
        <f>+VLOOKUP(Q56,Breakup!C:D,2,FALSE)</f>
        <v>#N/A</v>
      </c>
    </row>
    <row r="57" spans="1:23" ht="15" customHeight="1" x14ac:dyDescent="0.25">
      <c r="A57" s="96" t="str">
        <f>+VLOOKUP(H57,Breakup!$G:$H,2,FALSE)</f>
        <v xml:space="preserve">Corporate Signage             </v>
      </c>
      <c r="C57" s="264" t="s">
        <v>114</v>
      </c>
      <c r="D57" s="264" t="s">
        <v>99</v>
      </c>
      <c r="E57" s="264" t="s">
        <v>100</v>
      </c>
      <c r="F57" s="264" t="s">
        <v>269</v>
      </c>
      <c r="G57" s="264" t="s">
        <v>116</v>
      </c>
      <c r="H57" s="264" t="s">
        <v>270</v>
      </c>
      <c r="I57" s="268">
        <v>35000</v>
      </c>
      <c r="J57" s="268">
        <v>0</v>
      </c>
      <c r="K57" s="268">
        <v>0</v>
      </c>
      <c r="L57" s="263"/>
      <c r="M57" s="264" t="s">
        <v>114</v>
      </c>
      <c r="N57" s="264" t="s">
        <v>99</v>
      </c>
      <c r="O57" s="264" t="s">
        <v>175</v>
      </c>
      <c r="P57" s="264" t="s">
        <v>140</v>
      </c>
      <c r="Q57" s="264" t="s">
        <v>176</v>
      </c>
      <c r="R57" s="268">
        <v>0</v>
      </c>
      <c r="S57" s="268">
        <v>0</v>
      </c>
      <c r="T57" s="268">
        <v>0</v>
      </c>
      <c r="U57" s="268">
        <v>0</v>
      </c>
      <c r="V57" s="25">
        <f t="shared" si="1"/>
        <v>0</v>
      </c>
      <c r="W57" s="25" t="e">
        <f>+VLOOKUP(Q57,Breakup!C:D,2,FALSE)</f>
        <v>#N/A</v>
      </c>
    </row>
    <row r="58" spans="1:23" ht="15" customHeight="1" x14ac:dyDescent="0.25">
      <c r="A58" s="96" t="str">
        <f>+VLOOKUP(H58,Breakup!$G:$H,2,FALSE)</f>
        <v xml:space="preserve">Wayfinding Signage            </v>
      </c>
      <c r="C58" s="264" t="s">
        <v>114</v>
      </c>
      <c r="D58" s="264" t="s">
        <v>99</v>
      </c>
      <c r="E58" s="264" t="s">
        <v>100</v>
      </c>
      <c r="F58" s="264" t="s">
        <v>269</v>
      </c>
      <c r="G58" s="264" t="s">
        <v>121</v>
      </c>
      <c r="H58" s="264" t="s">
        <v>273</v>
      </c>
      <c r="I58" s="268">
        <v>30000</v>
      </c>
      <c r="J58" s="268">
        <v>0</v>
      </c>
      <c r="K58" s="268">
        <v>0</v>
      </c>
      <c r="L58" s="263"/>
      <c r="M58" s="264" t="s">
        <v>114</v>
      </c>
      <c r="N58" s="264" t="s">
        <v>99</v>
      </c>
      <c r="O58" s="264" t="s">
        <v>179</v>
      </c>
      <c r="P58" s="264" t="s">
        <v>140</v>
      </c>
      <c r="Q58" s="264" t="s">
        <v>180</v>
      </c>
      <c r="R58" s="268">
        <v>8500</v>
      </c>
      <c r="S58" s="268">
        <v>0</v>
      </c>
      <c r="T58" s="268">
        <v>8500</v>
      </c>
      <c r="U58" s="268">
        <v>15000</v>
      </c>
      <c r="V58" s="25">
        <f t="shared" si="1"/>
        <v>8500</v>
      </c>
      <c r="W58" s="25" t="e">
        <f>+VLOOKUP(Q58,Breakup!C:D,2,FALSE)</f>
        <v>#N/A</v>
      </c>
    </row>
    <row r="59" spans="1:23" ht="15" customHeight="1" x14ac:dyDescent="0.25">
      <c r="A59" s="96" t="str">
        <f>+VLOOKUP(H59,Breakup!$G:$H,2,FALSE)</f>
        <v xml:space="preserve">Corner and Door Protection    </v>
      </c>
      <c r="C59" s="264" t="s">
        <v>114</v>
      </c>
      <c r="D59" s="264" t="s">
        <v>99</v>
      </c>
      <c r="E59" s="264" t="s">
        <v>100</v>
      </c>
      <c r="F59" s="264" t="s">
        <v>269</v>
      </c>
      <c r="G59" s="264" t="s">
        <v>126</v>
      </c>
      <c r="H59" s="264" t="s">
        <v>277</v>
      </c>
      <c r="I59" s="268">
        <v>30000</v>
      </c>
      <c r="J59" s="268">
        <v>0</v>
      </c>
      <c r="K59" s="268">
        <v>0</v>
      </c>
      <c r="L59" s="263"/>
      <c r="M59" s="264" t="s">
        <v>114</v>
      </c>
      <c r="N59" s="264" t="s">
        <v>99</v>
      </c>
      <c r="O59" s="264" t="s">
        <v>183</v>
      </c>
      <c r="P59" s="264" t="s">
        <v>140</v>
      </c>
      <c r="Q59" s="264" t="s">
        <v>184</v>
      </c>
      <c r="R59" s="268">
        <v>1960</v>
      </c>
      <c r="S59" s="268">
        <v>0</v>
      </c>
      <c r="T59" s="268">
        <v>1960</v>
      </c>
      <c r="U59" s="268">
        <v>7415</v>
      </c>
      <c r="V59" s="25">
        <f t="shared" si="1"/>
        <v>1960</v>
      </c>
      <c r="W59" s="25" t="e">
        <f>+VLOOKUP(Q59,Breakup!C:D,2,FALSE)</f>
        <v>#N/A</v>
      </c>
    </row>
    <row r="60" spans="1:23" ht="15" customHeight="1" x14ac:dyDescent="0.25">
      <c r="A60" s="96" t="str">
        <f>+VLOOKUP(H60,Breakup!$G:$H,2,FALSE)</f>
        <v xml:space="preserve">Reception, Hairsalon and      </v>
      </c>
      <c r="C60" s="264" t="s">
        <v>114</v>
      </c>
      <c r="D60" s="264" t="s">
        <v>99</v>
      </c>
      <c r="E60" s="264" t="s">
        <v>100</v>
      </c>
      <c r="F60" s="264" t="s">
        <v>269</v>
      </c>
      <c r="G60" s="264" t="s">
        <v>128</v>
      </c>
      <c r="H60" s="264" t="s">
        <v>281</v>
      </c>
      <c r="I60" s="268">
        <v>22000</v>
      </c>
      <c r="J60" s="268">
        <v>0</v>
      </c>
      <c r="K60" s="268">
        <v>0</v>
      </c>
      <c r="L60" s="263"/>
      <c r="M60" s="264" t="s">
        <v>114</v>
      </c>
      <c r="N60" s="264" t="s">
        <v>99</v>
      </c>
      <c r="O60" s="264" t="s">
        <v>187</v>
      </c>
      <c r="P60" s="264" t="s">
        <v>140</v>
      </c>
      <c r="Q60" s="264" t="s">
        <v>188</v>
      </c>
      <c r="R60" s="268">
        <v>0</v>
      </c>
      <c r="S60" s="268">
        <v>0</v>
      </c>
      <c r="T60" s="268">
        <v>0</v>
      </c>
      <c r="U60" s="268">
        <v>0</v>
      </c>
      <c r="V60" s="25">
        <f t="shared" si="1"/>
        <v>0</v>
      </c>
      <c r="W60" s="25" t="e">
        <f>+VLOOKUP(Q60,Breakup!C:D,2,FALSE)</f>
        <v>#N/A</v>
      </c>
    </row>
    <row r="61" spans="1:23" ht="15" customHeight="1" x14ac:dyDescent="0.25">
      <c r="A61" s="96" t="str">
        <f>+VLOOKUP(H61,Breakup!$G:$H,2,FALSE)</f>
        <v xml:space="preserve">Nurse Call, Electronic Access </v>
      </c>
      <c r="C61" s="264" t="s">
        <v>114</v>
      </c>
      <c r="D61" s="264" t="s">
        <v>99</v>
      </c>
      <c r="E61" s="264" t="s">
        <v>100</v>
      </c>
      <c r="F61" s="264" t="s">
        <v>269</v>
      </c>
      <c r="G61" s="264" t="s">
        <v>130</v>
      </c>
      <c r="H61" s="264" t="s">
        <v>284</v>
      </c>
      <c r="I61" s="268">
        <v>600000</v>
      </c>
      <c r="J61" s="268">
        <v>179940</v>
      </c>
      <c r="K61" s="268">
        <v>159960</v>
      </c>
      <c r="L61" s="263"/>
      <c r="M61" s="264" t="s">
        <v>114</v>
      </c>
      <c r="N61" s="264" t="s">
        <v>99</v>
      </c>
      <c r="O61" s="264" t="s">
        <v>191</v>
      </c>
      <c r="P61" s="264" t="s">
        <v>140</v>
      </c>
      <c r="Q61" s="264" t="s">
        <v>482</v>
      </c>
      <c r="R61" s="268">
        <v>4250</v>
      </c>
      <c r="S61" s="268">
        <v>0</v>
      </c>
      <c r="T61" s="268">
        <v>4250</v>
      </c>
      <c r="U61" s="268">
        <v>9250</v>
      </c>
      <c r="V61" s="25">
        <f t="shared" si="1"/>
        <v>4250</v>
      </c>
      <c r="W61" s="25" t="e">
        <f>+VLOOKUP(Q61,Breakup!C:D,2,FALSE)</f>
        <v>#N/A</v>
      </c>
    </row>
    <row r="62" spans="1:23" ht="15" customHeight="1" x14ac:dyDescent="0.25">
      <c r="A62" s="96" t="str">
        <f>+VLOOKUP(H62,Breakup!$G:$H,2,FALSE)</f>
        <v xml:space="preserve">Interior Designer Lounge      </v>
      </c>
      <c r="C62" s="264" t="s">
        <v>114</v>
      </c>
      <c r="D62" s="264" t="s">
        <v>99</v>
      </c>
      <c r="E62" s="264" t="s">
        <v>100</v>
      </c>
      <c r="F62" s="264" t="s">
        <v>269</v>
      </c>
      <c r="G62" s="264" t="s">
        <v>133</v>
      </c>
      <c r="H62" s="264" t="s">
        <v>287</v>
      </c>
      <c r="I62" s="268">
        <v>50000</v>
      </c>
      <c r="J62" s="268">
        <v>50000</v>
      </c>
      <c r="K62" s="268">
        <v>50000</v>
      </c>
      <c r="L62" s="263"/>
      <c r="M62" s="264" t="s">
        <v>114</v>
      </c>
      <c r="N62" s="264" t="s">
        <v>99</v>
      </c>
      <c r="O62" s="264" t="s">
        <v>194</v>
      </c>
      <c r="P62" s="264" t="s">
        <v>140</v>
      </c>
      <c r="Q62" s="264" t="s">
        <v>195</v>
      </c>
      <c r="R62" s="268">
        <v>13765</v>
      </c>
      <c r="S62" s="268">
        <v>0</v>
      </c>
      <c r="T62" s="268">
        <v>13765</v>
      </c>
      <c r="U62" s="268">
        <v>26165</v>
      </c>
      <c r="V62" s="25">
        <f t="shared" si="1"/>
        <v>13765</v>
      </c>
      <c r="W62" s="25" t="e">
        <f>+VLOOKUP(Q62,Breakup!C:D,2,FALSE)</f>
        <v>#N/A</v>
      </c>
    </row>
    <row r="63" spans="1:23" ht="15" customHeight="1" x14ac:dyDescent="0.25">
      <c r="A63" s="96" t="str">
        <f>+VLOOKUP(H63,Breakup!$G:$H,2,FALSE)</f>
        <v xml:space="preserve">Metalwork AL1 Design          </v>
      </c>
      <c r="C63" s="264" t="s">
        <v>114</v>
      </c>
      <c r="D63" s="264" t="s">
        <v>99</v>
      </c>
      <c r="E63" s="264" t="s">
        <v>100</v>
      </c>
      <c r="F63" s="264" t="s">
        <v>269</v>
      </c>
      <c r="G63" s="264" t="s">
        <v>135</v>
      </c>
      <c r="H63" s="264" t="s">
        <v>291</v>
      </c>
      <c r="I63" s="268">
        <v>100000</v>
      </c>
      <c r="J63" s="268">
        <v>0</v>
      </c>
      <c r="K63" s="268">
        <v>0</v>
      </c>
      <c r="L63" s="263"/>
      <c r="M63" s="264" t="s">
        <v>114</v>
      </c>
      <c r="N63" s="264" t="s">
        <v>99</v>
      </c>
      <c r="O63" s="264" t="s">
        <v>198</v>
      </c>
      <c r="P63" s="264" t="s">
        <v>140</v>
      </c>
      <c r="Q63" s="264" t="s">
        <v>483</v>
      </c>
      <c r="R63" s="268">
        <v>810</v>
      </c>
      <c r="S63" s="268">
        <v>0</v>
      </c>
      <c r="T63" s="268">
        <v>810</v>
      </c>
      <c r="U63" s="268">
        <v>810</v>
      </c>
      <c r="V63" s="25">
        <f t="shared" si="1"/>
        <v>810</v>
      </c>
      <c r="W63" s="25" t="e">
        <f>+VLOOKUP(Q63,Breakup!C:D,2,FALSE)</f>
        <v>#N/A</v>
      </c>
    </row>
    <row r="64" spans="1:23" ht="15" customHeight="1" x14ac:dyDescent="0.25">
      <c r="A64" s="96" t="str">
        <f>+VLOOKUP(H64,Breakup!$G:$H,2,FALSE)</f>
        <v>Sundry Income</v>
      </c>
      <c r="C64" s="270"/>
      <c r="D64" s="264" t="s">
        <v>99</v>
      </c>
      <c r="E64" s="264" t="s">
        <v>100</v>
      </c>
      <c r="F64" s="270"/>
      <c r="G64" s="275" t="s">
        <v>293</v>
      </c>
      <c r="H64" s="264" t="s">
        <v>294</v>
      </c>
      <c r="I64" s="268">
        <v>0</v>
      </c>
      <c r="J64" s="268">
        <v>0</v>
      </c>
      <c r="K64" s="270"/>
      <c r="L64" s="263"/>
      <c r="M64" s="264" t="s">
        <v>114</v>
      </c>
      <c r="N64" s="264" t="s">
        <v>99</v>
      </c>
      <c r="O64" s="264" t="s">
        <v>201</v>
      </c>
      <c r="P64" s="264" t="s">
        <v>140</v>
      </c>
      <c r="Q64" s="264" t="s">
        <v>202</v>
      </c>
      <c r="R64" s="268">
        <v>5200</v>
      </c>
      <c r="S64" s="268">
        <v>0</v>
      </c>
      <c r="T64" s="268">
        <v>5200</v>
      </c>
      <c r="U64" s="268">
        <v>5200</v>
      </c>
      <c r="V64" s="25">
        <f t="shared" si="1"/>
        <v>5200</v>
      </c>
      <c r="W64" s="25" t="e">
        <f>+VLOOKUP(Q64,Breakup!C:D,2,FALSE)</f>
        <v>#N/A</v>
      </c>
    </row>
    <row r="65" spans="1:23" ht="15" customHeight="1" x14ac:dyDescent="0.25">
      <c r="A65" s="96" t="str">
        <f>+VLOOKUP(H65,Breakup!$G:$H,2,FALSE)</f>
        <v>Variations</v>
      </c>
      <c r="C65" s="270"/>
      <c r="D65" s="264" t="s">
        <v>99</v>
      </c>
      <c r="E65" s="264" t="s">
        <v>100</v>
      </c>
      <c r="F65" s="270"/>
      <c r="G65" s="275" t="s">
        <v>296</v>
      </c>
      <c r="H65" s="264" t="s">
        <v>297</v>
      </c>
      <c r="I65" s="268">
        <v>410185.47</v>
      </c>
      <c r="J65" s="268">
        <v>249326.12</v>
      </c>
      <c r="K65" s="270"/>
      <c r="L65" s="263"/>
      <c r="M65" s="264" t="s">
        <v>114</v>
      </c>
      <c r="N65" s="264" t="s">
        <v>99</v>
      </c>
      <c r="O65" s="264" t="s">
        <v>205</v>
      </c>
      <c r="P65" s="264" t="s">
        <v>140</v>
      </c>
      <c r="Q65" s="264" t="s">
        <v>206</v>
      </c>
      <c r="R65" s="268">
        <v>0</v>
      </c>
      <c r="S65" s="268">
        <v>0</v>
      </c>
      <c r="T65" s="268">
        <v>0</v>
      </c>
      <c r="U65" s="268">
        <v>0</v>
      </c>
      <c r="V65" s="25">
        <f t="shared" si="1"/>
        <v>0</v>
      </c>
      <c r="W65" s="25" t="e">
        <f>+VLOOKUP(Q65,Breakup!C:D,2,FALSE)</f>
        <v>#N/A</v>
      </c>
    </row>
    <row r="66" spans="1:23" ht="15" customHeight="1" x14ac:dyDescent="0.25">
      <c r="A66" s="96" t="e">
        <f>+VLOOKUP(H66,Breakup!$G:$H,2,FALSE)</f>
        <v>#N/A</v>
      </c>
      <c r="C66" s="263"/>
      <c r="D66" s="263"/>
      <c r="E66" s="263"/>
      <c r="F66" s="263"/>
      <c r="G66" s="263"/>
      <c r="H66" s="263"/>
      <c r="I66" s="263"/>
      <c r="J66" s="263"/>
      <c r="K66" s="263"/>
      <c r="L66" s="263"/>
      <c r="M66" s="264" t="s">
        <v>114</v>
      </c>
      <c r="N66" s="264" t="s">
        <v>99</v>
      </c>
      <c r="O66" s="264" t="s">
        <v>209</v>
      </c>
      <c r="P66" s="264" t="s">
        <v>140</v>
      </c>
      <c r="Q66" s="264" t="s">
        <v>210</v>
      </c>
      <c r="R66" s="268">
        <v>3062.5</v>
      </c>
      <c r="S66" s="268">
        <v>0</v>
      </c>
      <c r="T66" s="268">
        <v>3062.5</v>
      </c>
      <c r="U66" s="268">
        <v>7132.5</v>
      </c>
      <c r="V66" s="25">
        <f t="shared" si="1"/>
        <v>3062.5</v>
      </c>
      <c r="W66" s="25" t="e">
        <f>+VLOOKUP(Q66,Breakup!C:D,2,FALSE)</f>
        <v>#N/A</v>
      </c>
    </row>
    <row r="67" spans="1:23" ht="15" customHeight="1" x14ac:dyDescent="0.25">
      <c r="A67" s="96" t="e">
        <f>+VLOOKUP(H67,Breakup!$G:$H,2,FALSE)</f>
        <v>#N/A</v>
      </c>
      <c r="C67" s="263"/>
      <c r="D67" s="263"/>
      <c r="E67" s="263"/>
      <c r="F67" s="263"/>
      <c r="G67" s="263"/>
      <c r="H67" s="263"/>
      <c r="I67" s="263"/>
      <c r="J67" s="263"/>
      <c r="K67" s="263"/>
      <c r="L67" s="263"/>
      <c r="M67" s="264" t="s">
        <v>114</v>
      </c>
      <c r="N67" s="264" t="s">
        <v>99</v>
      </c>
      <c r="O67" s="264" t="s">
        <v>213</v>
      </c>
      <c r="P67" s="264" t="s">
        <v>140</v>
      </c>
      <c r="Q67" s="264" t="s">
        <v>214</v>
      </c>
      <c r="R67" s="268">
        <v>24875</v>
      </c>
      <c r="S67" s="268">
        <v>0</v>
      </c>
      <c r="T67" s="268">
        <v>24875</v>
      </c>
      <c r="U67" s="268">
        <v>38175</v>
      </c>
      <c r="V67" s="25">
        <f t="shared" si="1"/>
        <v>24875</v>
      </c>
      <c r="W67" s="25" t="e">
        <f>+VLOOKUP(Q67,Breakup!C:D,2,FALSE)</f>
        <v>#N/A</v>
      </c>
    </row>
    <row r="68" spans="1:23" ht="15" customHeight="1" x14ac:dyDescent="0.25">
      <c r="A68" s="96" t="e">
        <f>+VLOOKUP(H68,Breakup!$G:$H,2,FALSE)</f>
        <v>#N/A</v>
      </c>
      <c r="C68" s="263"/>
      <c r="D68" s="263"/>
      <c r="E68" s="263"/>
      <c r="F68" s="263"/>
      <c r="G68" s="263"/>
      <c r="H68" s="263"/>
      <c r="I68" s="263"/>
      <c r="J68" s="263"/>
      <c r="K68" s="263"/>
      <c r="L68" s="263"/>
      <c r="M68" s="264" t="s">
        <v>114</v>
      </c>
      <c r="N68" s="264" t="s">
        <v>99</v>
      </c>
      <c r="O68" s="264" t="s">
        <v>217</v>
      </c>
      <c r="P68" s="264" t="s">
        <v>140</v>
      </c>
      <c r="Q68" s="264" t="s">
        <v>218</v>
      </c>
      <c r="R68" s="268">
        <v>400</v>
      </c>
      <c r="S68" s="268">
        <v>0</v>
      </c>
      <c r="T68" s="268">
        <v>400</v>
      </c>
      <c r="U68" s="268">
        <v>500</v>
      </c>
      <c r="V68" s="25">
        <f t="shared" si="1"/>
        <v>400</v>
      </c>
      <c r="W68" s="25" t="e">
        <f>+VLOOKUP(Q68,Breakup!C:D,2,FALSE)</f>
        <v>#N/A</v>
      </c>
    </row>
    <row r="69" spans="1:23" ht="15" customHeight="1" x14ac:dyDescent="0.25">
      <c r="A69" s="96" t="e">
        <f>+VLOOKUP(H69,Breakup!$G:$H,2,FALSE)</f>
        <v>#N/A</v>
      </c>
      <c r="C69" s="263"/>
      <c r="D69" s="263"/>
      <c r="E69" s="263"/>
      <c r="F69" s="263"/>
      <c r="G69" s="263"/>
      <c r="H69" s="263"/>
      <c r="I69" s="263"/>
      <c r="J69" s="263"/>
      <c r="K69" s="263"/>
      <c r="L69" s="263"/>
      <c r="M69" s="264" t="s">
        <v>114</v>
      </c>
      <c r="N69" s="264" t="s">
        <v>99</v>
      </c>
      <c r="O69" s="264" t="s">
        <v>221</v>
      </c>
      <c r="P69" s="264" t="s">
        <v>222</v>
      </c>
      <c r="Q69" s="264" t="s">
        <v>120</v>
      </c>
      <c r="R69" s="268">
        <v>75000</v>
      </c>
      <c r="S69" s="268">
        <v>0</v>
      </c>
      <c r="T69" s="268">
        <v>75000</v>
      </c>
      <c r="U69" s="268">
        <v>75000</v>
      </c>
      <c r="V69" s="25">
        <f t="shared" si="1"/>
        <v>75000</v>
      </c>
      <c r="W69" s="25" t="e">
        <f>+VLOOKUP(Q69,Breakup!C:D,2,FALSE)</f>
        <v>#N/A</v>
      </c>
    </row>
    <row r="70" spans="1:23" ht="15" customHeight="1" x14ac:dyDescent="0.25">
      <c r="A70" s="96" t="e">
        <f>+VLOOKUP(H70,Breakup!$G:$H,2,FALSE)</f>
        <v>#N/A</v>
      </c>
      <c r="C70" s="263"/>
      <c r="D70" s="263"/>
      <c r="E70" s="263"/>
      <c r="F70" s="263"/>
      <c r="G70" s="263"/>
      <c r="H70" s="263"/>
      <c r="I70" s="263"/>
      <c r="J70" s="263"/>
      <c r="K70" s="263"/>
      <c r="L70" s="263"/>
      <c r="M70" s="264" t="s">
        <v>114</v>
      </c>
      <c r="N70" s="264" t="s">
        <v>99</v>
      </c>
      <c r="O70" s="264" t="s">
        <v>225</v>
      </c>
      <c r="P70" s="264" t="s">
        <v>226</v>
      </c>
      <c r="Q70" s="264" t="s">
        <v>227</v>
      </c>
      <c r="R70" s="268">
        <v>125</v>
      </c>
      <c r="S70" s="268">
        <v>0</v>
      </c>
      <c r="T70" s="268">
        <v>125</v>
      </c>
      <c r="U70" s="268">
        <v>28125</v>
      </c>
      <c r="V70" s="25">
        <f t="shared" si="1"/>
        <v>125</v>
      </c>
      <c r="W70" s="25" t="e">
        <f>+VLOOKUP(Q70,Breakup!C:D,2,FALSE)</f>
        <v>#N/A</v>
      </c>
    </row>
    <row r="71" spans="1:23" ht="15" customHeight="1" x14ac:dyDescent="0.25">
      <c r="A71" s="96" t="e">
        <f>+VLOOKUP(H71,Breakup!$G:$H,2,FALSE)</f>
        <v>#N/A</v>
      </c>
      <c r="C71" s="263"/>
      <c r="D71" s="263"/>
      <c r="E71" s="263"/>
      <c r="F71" s="263"/>
      <c r="G71" s="263"/>
      <c r="H71" s="263"/>
      <c r="I71" s="263"/>
      <c r="J71" s="263"/>
      <c r="K71" s="263"/>
      <c r="L71" s="263"/>
      <c r="M71" s="264" t="s">
        <v>114</v>
      </c>
      <c r="N71" s="264" t="s">
        <v>99</v>
      </c>
      <c r="O71" s="264" t="s">
        <v>230</v>
      </c>
      <c r="P71" s="264" t="s">
        <v>226</v>
      </c>
      <c r="Q71" s="264" t="s">
        <v>231</v>
      </c>
      <c r="R71" s="268">
        <v>109779.74</v>
      </c>
      <c r="S71" s="268">
        <v>0</v>
      </c>
      <c r="T71" s="268">
        <v>109779.74</v>
      </c>
      <c r="U71" s="268">
        <v>222738.1</v>
      </c>
      <c r="V71" s="25">
        <f t="shared" si="1"/>
        <v>109779.74</v>
      </c>
      <c r="W71" s="25" t="e">
        <f>+VLOOKUP(Q71,Breakup!C:D,2,FALSE)</f>
        <v>#N/A</v>
      </c>
    </row>
    <row r="72" spans="1:23" ht="15" customHeight="1" x14ac:dyDescent="0.25">
      <c r="A72" s="96" t="e">
        <f>+VLOOKUP(H72,Breakup!$G:$H,2,FALSE)</f>
        <v>#N/A</v>
      </c>
      <c r="C72" s="263"/>
      <c r="D72" s="263"/>
      <c r="E72" s="263"/>
      <c r="F72" s="263"/>
      <c r="G72" s="263"/>
      <c r="H72" s="263"/>
      <c r="I72" s="263"/>
      <c r="J72" s="263"/>
      <c r="K72" s="263"/>
      <c r="L72" s="263"/>
      <c r="M72" s="264" t="s">
        <v>114</v>
      </c>
      <c r="N72" s="264" t="s">
        <v>99</v>
      </c>
      <c r="O72" s="264" t="s">
        <v>484</v>
      </c>
      <c r="P72" s="264" t="s">
        <v>222</v>
      </c>
      <c r="Q72" s="264" t="s">
        <v>234</v>
      </c>
      <c r="R72" s="268">
        <v>0</v>
      </c>
      <c r="S72" s="268">
        <v>0</v>
      </c>
      <c r="T72" s="268">
        <v>0</v>
      </c>
      <c r="U72" s="268">
        <v>0</v>
      </c>
      <c r="V72" s="25">
        <f t="shared" ref="V72:V103" si="2">+IF(P72="LW",T72,R72)+S72</f>
        <v>0</v>
      </c>
      <c r="W72" s="25" t="e">
        <f>+VLOOKUP(Q72,Breakup!C:D,2,FALSE)</f>
        <v>#N/A</v>
      </c>
    </row>
    <row r="73" spans="1:23" ht="15" customHeight="1" x14ac:dyDescent="0.25">
      <c r="A73" s="96" t="e">
        <f>+VLOOKUP(H73,Breakup!$G:$H,2,FALSE)</f>
        <v>#N/A</v>
      </c>
      <c r="C73" s="263"/>
      <c r="D73" s="263"/>
      <c r="E73" s="263"/>
      <c r="F73" s="263"/>
      <c r="G73" s="263"/>
      <c r="H73" s="263"/>
      <c r="I73" s="263"/>
      <c r="J73" s="263"/>
      <c r="K73" s="263"/>
      <c r="L73" s="263"/>
      <c r="M73" s="264" t="s">
        <v>114</v>
      </c>
      <c r="N73" s="264" t="s">
        <v>99</v>
      </c>
      <c r="O73" s="264" t="s">
        <v>243</v>
      </c>
      <c r="P73" s="264" t="s">
        <v>226</v>
      </c>
      <c r="Q73" s="264" t="s">
        <v>244</v>
      </c>
      <c r="R73" s="268">
        <v>0</v>
      </c>
      <c r="S73" s="268">
        <v>0</v>
      </c>
      <c r="T73" s="268">
        <v>0</v>
      </c>
      <c r="U73" s="268">
        <v>0</v>
      </c>
      <c r="V73" s="25">
        <f t="shared" si="2"/>
        <v>0</v>
      </c>
      <c r="W73" s="25" t="e">
        <f>+VLOOKUP(Q73,Breakup!C:D,2,FALSE)</f>
        <v>#N/A</v>
      </c>
    </row>
    <row r="74" spans="1:23" ht="15" customHeight="1" x14ac:dyDescent="0.25">
      <c r="A74" s="96" t="e">
        <f>+VLOOKUP(H74,Breakup!$G:$H,2,FALSE)</f>
        <v>#N/A</v>
      </c>
      <c r="C74" s="263"/>
      <c r="D74" s="263"/>
      <c r="E74" s="263"/>
      <c r="F74" s="263"/>
      <c r="G74" s="263"/>
      <c r="H74" s="263"/>
      <c r="I74" s="263"/>
      <c r="J74" s="263"/>
      <c r="K74" s="263"/>
      <c r="L74" s="263"/>
      <c r="M74" s="264" t="s">
        <v>114</v>
      </c>
      <c r="N74" s="264" t="s">
        <v>99</v>
      </c>
      <c r="O74" s="264" t="s">
        <v>247</v>
      </c>
      <c r="P74" s="264" t="s">
        <v>226</v>
      </c>
      <c r="Q74" s="264" t="s">
        <v>248</v>
      </c>
      <c r="R74" s="268">
        <v>16541.189999999999</v>
      </c>
      <c r="S74" s="268">
        <v>0</v>
      </c>
      <c r="T74" s="268">
        <v>16541.189999999999</v>
      </c>
      <c r="U74" s="268">
        <v>28500</v>
      </c>
      <c r="V74" s="25">
        <f t="shared" si="2"/>
        <v>16541.189999999999</v>
      </c>
      <c r="W74" s="25" t="e">
        <f>+VLOOKUP(Q74,Breakup!C:D,2,FALSE)</f>
        <v>#N/A</v>
      </c>
    </row>
    <row r="75" spans="1:23" ht="15" customHeight="1" x14ac:dyDescent="0.25">
      <c r="A75" s="96" t="e">
        <f>+VLOOKUP(H75,Breakup!$G:$H,2,FALSE)</f>
        <v>#N/A</v>
      </c>
      <c r="C75" s="263"/>
      <c r="D75" s="263"/>
      <c r="E75" s="263"/>
      <c r="F75" s="263"/>
      <c r="G75" s="263"/>
      <c r="H75" s="263"/>
      <c r="I75" s="263"/>
      <c r="J75" s="263"/>
      <c r="K75" s="263"/>
      <c r="L75" s="263"/>
      <c r="M75" s="264" t="s">
        <v>114</v>
      </c>
      <c r="N75" s="264" t="s">
        <v>99</v>
      </c>
      <c r="O75" s="264" t="s">
        <v>251</v>
      </c>
      <c r="P75" s="264" t="s">
        <v>252</v>
      </c>
      <c r="Q75" s="264" t="s">
        <v>253</v>
      </c>
      <c r="R75" s="268">
        <v>511.5</v>
      </c>
      <c r="S75" s="268">
        <v>0</v>
      </c>
      <c r="T75" s="268">
        <v>511.5</v>
      </c>
      <c r="U75" s="268">
        <v>6250</v>
      </c>
      <c r="V75" s="25">
        <f t="shared" si="2"/>
        <v>511.5</v>
      </c>
      <c r="W75" s="25" t="e">
        <f>+VLOOKUP(Q75,Breakup!C:D,2,FALSE)</f>
        <v>#N/A</v>
      </c>
    </row>
    <row r="76" spans="1:23" ht="15" customHeight="1" x14ac:dyDescent="0.25">
      <c r="A76" s="96" t="e">
        <f>+VLOOKUP(H76,Breakup!$G:$H,2,FALSE)</f>
        <v>#N/A</v>
      </c>
      <c r="C76" s="263"/>
      <c r="D76" s="263"/>
      <c r="E76" s="263"/>
      <c r="F76" s="263"/>
      <c r="G76" s="263"/>
      <c r="H76" s="263"/>
      <c r="I76" s="263"/>
      <c r="J76" s="263"/>
      <c r="K76" s="263"/>
      <c r="L76" s="263"/>
      <c r="M76" s="264" t="s">
        <v>114</v>
      </c>
      <c r="N76" s="264" t="s">
        <v>99</v>
      </c>
      <c r="O76" s="264" t="s">
        <v>256</v>
      </c>
      <c r="P76" s="264" t="s">
        <v>226</v>
      </c>
      <c r="Q76" s="264" t="s">
        <v>257</v>
      </c>
      <c r="R76" s="268">
        <v>3500</v>
      </c>
      <c r="S76" s="268">
        <v>0</v>
      </c>
      <c r="T76" s="268">
        <v>3500</v>
      </c>
      <c r="U76" s="268">
        <v>3500</v>
      </c>
      <c r="V76" s="25">
        <f t="shared" si="2"/>
        <v>3500</v>
      </c>
      <c r="W76" s="25" t="e">
        <f>+VLOOKUP(Q76,Breakup!C:D,2,FALSE)</f>
        <v>#N/A</v>
      </c>
    </row>
    <row r="77" spans="1:23" ht="15" customHeight="1" x14ac:dyDescent="0.25">
      <c r="A77" s="96" t="e">
        <f>+VLOOKUP(H77,Breakup!$G:$H,2,FALSE)</f>
        <v>#N/A</v>
      </c>
      <c r="C77" s="263"/>
      <c r="D77" s="263"/>
      <c r="E77" s="263"/>
      <c r="F77" s="263"/>
      <c r="G77" s="263"/>
      <c r="H77" s="263"/>
      <c r="I77" s="263"/>
      <c r="J77" s="263"/>
      <c r="K77" s="263"/>
      <c r="L77" s="263"/>
      <c r="M77" s="264" t="s">
        <v>114</v>
      </c>
      <c r="N77" s="264" t="s">
        <v>99</v>
      </c>
      <c r="O77" s="264" t="s">
        <v>260</v>
      </c>
      <c r="P77" s="264" t="s">
        <v>226</v>
      </c>
      <c r="Q77" s="264" t="s">
        <v>261</v>
      </c>
      <c r="R77" s="268">
        <v>0</v>
      </c>
      <c r="S77" s="268">
        <v>0</v>
      </c>
      <c r="T77" s="268">
        <v>0</v>
      </c>
      <c r="U77" s="268">
        <v>0</v>
      </c>
      <c r="V77" s="25">
        <f t="shared" si="2"/>
        <v>0</v>
      </c>
      <c r="W77" s="25" t="e">
        <f>+VLOOKUP(Q77,Breakup!C:D,2,FALSE)</f>
        <v>#N/A</v>
      </c>
    </row>
    <row r="78" spans="1:23" ht="15" customHeight="1" x14ac:dyDescent="0.25">
      <c r="A78" s="96" t="e">
        <f>+VLOOKUP(H78,Breakup!$G:$H,2,FALSE)</f>
        <v>#N/A</v>
      </c>
      <c r="C78" s="263"/>
      <c r="D78" s="263"/>
      <c r="E78" s="263"/>
      <c r="F78" s="263"/>
      <c r="G78" s="263"/>
      <c r="H78" s="263"/>
      <c r="I78" s="263"/>
      <c r="J78" s="263"/>
      <c r="K78" s="263"/>
      <c r="L78" s="263"/>
      <c r="M78" s="264" t="s">
        <v>114</v>
      </c>
      <c r="N78" s="264" t="s">
        <v>99</v>
      </c>
      <c r="O78" s="264" t="s">
        <v>264</v>
      </c>
      <c r="P78" s="264" t="s">
        <v>252</v>
      </c>
      <c r="Q78" s="264" t="s">
        <v>265</v>
      </c>
      <c r="R78" s="268">
        <v>7635.68</v>
      </c>
      <c r="S78" s="268">
        <v>0</v>
      </c>
      <c r="T78" s="268">
        <v>7635.68</v>
      </c>
      <c r="U78" s="268">
        <v>24584.400000000001</v>
      </c>
      <c r="V78" s="25">
        <f t="shared" si="2"/>
        <v>7635.68</v>
      </c>
      <c r="W78" s="25" t="e">
        <f>+VLOOKUP(Q78,Breakup!C:D,2,FALSE)</f>
        <v>#N/A</v>
      </c>
    </row>
    <row r="79" spans="1:23" ht="15" customHeight="1" x14ac:dyDescent="0.25">
      <c r="A79" s="96" t="e">
        <f>+VLOOKUP(H79,Breakup!$G:$H,2,FALSE)</f>
        <v>#N/A</v>
      </c>
      <c r="C79" s="263"/>
      <c r="D79" s="263"/>
      <c r="E79" s="263"/>
      <c r="F79" s="263"/>
      <c r="G79" s="263"/>
      <c r="H79" s="263"/>
      <c r="I79" s="263"/>
      <c r="J79" s="263"/>
      <c r="K79" s="263"/>
      <c r="L79" s="263"/>
      <c r="M79" s="264" t="s">
        <v>114</v>
      </c>
      <c r="N79" s="264" t="s">
        <v>99</v>
      </c>
      <c r="O79" s="264" t="s">
        <v>267</v>
      </c>
      <c r="P79" s="264" t="s">
        <v>226</v>
      </c>
      <c r="Q79" s="264" t="s">
        <v>268</v>
      </c>
      <c r="R79" s="268">
        <v>0</v>
      </c>
      <c r="S79" s="268">
        <v>0</v>
      </c>
      <c r="T79" s="268">
        <v>0</v>
      </c>
      <c r="U79" s="268">
        <v>0</v>
      </c>
      <c r="V79" s="25">
        <f t="shared" si="2"/>
        <v>0</v>
      </c>
      <c r="W79" s="25" t="e">
        <f>+VLOOKUP(Q79,Breakup!C:D,2,FALSE)</f>
        <v>#N/A</v>
      </c>
    </row>
    <row r="80" spans="1:23" ht="15" customHeight="1" x14ac:dyDescent="0.25">
      <c r="A80" s="96" t="e">
        <f>+VLOOKUP(H80,Breakup!$G:$H,2,FALSE)</f>
        <v>#N/A</v>
      </c>
      <c r="C80" s="263"/>
      <c r="D80" s="263"/>
      <c r="E80" s="263"/>
      <c r="F80" s="263"/>
      <c r="G80" s="263"/>
      <c r="H80" s="263"/>
      <c r="I80" s="263"/>
      <c r="J80" s="263"/>
      <c r="K80" s="263"/>
      <c r="L80" s="263"/>
      <c r="M80" s="264" t="s">
        <v>114</v>
      </c>
      <c r="N80" s="264" t="s">
        <v>99</v>
      </c>
      <c r="O80" s="264" t="s">
        <v>271</v>
      </c>
      <c r="P80" s="264" t="s">
        <v>222</v>
      </c>
      <c r="Q80" s="264" t="s">
        <v>272</v>
      </c>
      <c r="R80" s="268">
        <v>1200</v>
      </c>
      <c r="S80" s="268">
        <v>0</v>
      </c>
      <c r="T80" s="268">
        <v>1200</v>
      </c>
      <c r="U80" s="268">
        <v>1200</v>
      </c>
      <c r="V80" s="25">
        <f t="shared" si="2"/>
        <v>1200</v>
      </c>
      <c r="W80" s="25" t="e">
        <f>+VLOOKUP(Q80,Breakup!C:D,2,FALSE)</f>
        <v>#N/A</v>
      </c>
    </row>
    <row r="81" spans="1:23" ht="15" customHeight="1" x14ac:dyDescent="0.25">
      <c r="A81" s="96" t="e">
        <f>+VLOOKUP(H81,Breakup!$G:$H,2,FALSE)</f>
        <v>#N/A</v>
      </c>
      <c r="C81" s="263"/>
      <c r="D81" s="263"/>
      <c r="E81" s="263"/>
      <c r="F81" s="263"/>
      <c r="G81" s="263"/>
      <c r="H81" s="263"/>
      <c r="I81" s="263"/>
      <c r="J81" s="263"/>
      <c r="K81" s="263"/>
      <c r="L81" s="263"/>
      <c r="M81" s="264" t="s">
        <v>114</v>
      </c>
      <c r="N81" s="264" t="s">
        <v>99</v>
      </c>
      <c r="O81" s="264" t="s">
        <v>274</v>
      </c>
      <c r="P81" s="264" t="s">
        <v>275</v>
      </c>
      <c r="Q81" s="264" t="s">
        <v>276</v>
      </c>
      <c r="R81" s="268">
        <v>0</v>
      </c>
      <c r="S81" s="268">
        <v>0</v>
      </c>
      <c r="T81" s="268">
        <v>0</v>
      </c>
      <c r="U81" s="268">
        <v>0</v>
      </c>
      <c r="V81" s="25">
        <f t="shared" si="2"/>
        <v>0</v>
      </c>
      <c r="W81" s="25" t="e">
        <f>+VLOOKUP(Q81,Breakup!C:D,2,FALSE)</f>
        <v>#N/A</v>
      </c>
    </row>
    <row r="82" spans="1:23" ht="15" customHeight="1" x14ac:dyDescent="0.25">
      <c r="A82" s="96" t="e">
        <f>+VLOOKUP(H82,Breakup!$G:$H,2,FALSE)</f>
        <v>#N/A</v>
      </c>
      <c r="C82" s="263"/>
      <c r="D82" s="263"/>
      <c r="E82" s="263"/>
      <c r="F82" s="263"/>
      <c r="G82" s="263"/>
      <c r="H82" s="263"/>
      <c r="I82" s="263"/>
      <c r="J82" s="263"/>
      <c r="K82" s="263"/>
      <c r="L82" s="263"/>
      <c r="M82" s="264" t="s">
        <v>114</v>
      </c>
      <c r="N82" s="264" t="s">
        <v>99</v>
      </c>
      <c r="O82" s="264" t="s">
        <v>278</v>
      </c>
      <c r="P82" s="264" t="s">
        <v>279</v>
      </c>
      <c r="Q82" s="264" t="s">
        <v>280</v>
      </c>
      <c r="R82" s="268">
        <v>14212</v>
      </c>
      <c r="S82" s="268">
        <v>0</v>
      </c>
      <c r="T82" s="268">
        <v>14212</v>
      </c>
      <c r="U82" s="268">
        <v>17725</v>
      </c>
      <c r="V82" s="25">
        <f t="shared" si="2"/>
        <v>14212</v>
      </c>
      <c r="W82" s="25" t="e">
        <f>+VLOOKUP(Q82,Breakup!C:D,2,FALSE)</f>
        <v>#N/A</v>
      </c>
    </row>
    <row r="83" spans="1:23" ht="15" customHeight="1" x14ac:dyDescent="0.25">
      <c r="A83" s="96" t="e">
        <f>+VLOOKUP(H83,Breakup!$G:$H,2,FALSE)</f>
        <v>#N/A</v>
      </c>
      <c r="C83" s="263"/>
      <c r="D83" s="263"/>
      <c r="E83" s="263"/>
      <c r="F83" s="263"/>
      <c r="G83" s="263"/>
      <c r="H83" s="263"/>
      <c r="I83" s="263"/>
      <c r="J83" s="263"/>
      <c r="K83" s="263"/>
      <c r="L83" s="263"/>
      <c r="M83" s="264" t="s">
        <v>114</v>
      </c>
      <c r="N83" s="264" t="s">
        <v>99</v>
      </c>
      <c r="O83" s="264" t="s">
        <v>282</v>
      </c>
      <c r="P83" s="264" t="s">
        <v>275</v>
      </c>
      <c r="Q83" s="264" t="s">
        <v>283</v>
      </c>
      <c r="R83" s="268">
        <v>0</v>
      </c>
      <c r="S83" s="268">
        <v>0</v>
      </c>
      <c r="T83" s="268">
        <v>0</v>
      </c>
      <c r="U83" s="268">
        <v>5000</v>
      </c>
      <c r="V83" s="25">
        <f t="shared" si="2"/>
        <v>0</v>
      </c>
      <c r="W83" s="25" t="e">
        <f>+VLOOKUP(Q83,Breakup!C:D,2,FALSE)</f>
        <v>#N/A</v>
      </c>
    </row>
    <row r="84" spans="1:23" ht="15" customHeight="1" x14ac:dyDescent="0.25">
      <c r="A84" s="96" t="e">
        <f>+VLOOKUP(H84,Breakup!$G:$H,2,FALSE)</f>
        <v>#N/A</v>
      </c>
      <c r="C84" s="263"/>
      <c r="D84" s="263"/>
      <c r="E84" s="263"/>
      <c r="F84" s="263"/>
      <c r="G84" s="263"/>
      <c r="H84" s="263"/>
      <c r="I84" s="263"/>
      <c r="J84" s="263"/>
      <c r="K84" s="263"/>
      <c r="L84" s="263"/>
      <c r="M84" s="264" t="s">
        <v>114</v>
      </c>
      <c r="N84" s="264" t="s">
        <v>99</v>
      </c>
      <c r="O84" s="264" t="s">
        <v>285</v>
      </c>
      <c r="P84" s="264" t="s">
        <v>275</v>
      </c>
      <c r="Q84" s="264" t="s">
        <v>286</v>
      </c>
      <c r="R84" s="268">
        <v>10115.700000000001</v>
      </c>
      <c r="S84" s="268">
        <v>0</v>
      </c>
      <c r="T84" s="268">
        <v>10115.700000000001</v>
      </c>
      <c r="U84" s="268">
        <v>10198.83</v>
      </c>
      <c r="V84" s="25">
        <f t="shared" si="2"/>
        <v>10115.700000000001</v>
      </c>
      <c r="W84" s="25" t="e">
        <f>+VLOOKUP(Q84,Breakup!C:D,2,FALSE)</f>
        <v>#N/A</v>
      </c>
    </row>
    <row r="85" spans="1:23" ht="15" customHeight="1" x14ac:dyDescent="0.25">
      <c r="A85" s="96" t="e">
        <f>+VLOOKUP(H85,Breakup!$G:$H,2,FALSE)</f>
        <v>#N/A</v>
      </c>
      <c r="C85" s="263"/>
      <c r="D85" s="263"/>
      <c r="E85" s="263"/>
      <c r="F85" s="263"/>
      <c r="G85" s="263"/>
      <c r="H85" s="263"/>
      <c r="I85" s="263"/>
      <c r="J85" s="263"/>
      <c r="K85" s="263"/>
      <c r="L85" s="263"/>
      <c r="M85" s="264" t="s">
        <v>114</v>
      </c>
      <c r="N85" s="264" t="s">
        <v>99</v>
      </c>
      <c r="O85" s="264" t="s">
        <v>288</v>
      </c>
      <c r="P85" s="264" t="s">
        <v>289</v>
      </c>
      <c r="Q85" s="264" t="s">
        <v>290</v>
      </c>
      <c r="R85" s="268">
        <v>2975.98</v>
      </c>
      <c r="S85" s="268">
        <v>0</v>
      </c>
      <c r="T85" s="268">
        <v>2975.98</v>
      </c>
      <c r="U85" s="268">
        <v>2975.98</v>
      </c>
      <c r="V85" s="25">
        <f t="shared" si="2"/>
        <v>2975.98</v>
      </c>
      <c r="W85" s="25" t="e">
        <f>+VLOOKUP(Q85,Breakup!C:D,2,FALSE)</f>
        <v>#N/A</v>
      </c>
    </row>
    <row r="86" spans="1:23" ht="15" customHeight="1" x14ac:dyDescent="0.25">
      <c r="A86" s="96" t="e">
        <f>+VLOOKUP(H86,Breakup!$G:$H,2,FALSE)</f>
        <v>#N/A</v>
      </c>
      <c r="C86" s="263"/>
      <c r="D86" s="263"/>
      <c r="E86" s="263"/>
      <c r="F86" s="263"/>
      <c r="G86" s="263"/>
      <c r="H86" s="263"/>
      <c r="I86" s="263"/>
      <c r="J86" s="263"/>
      <c r="K86" s="263"/>
      <c r="L86" s="263"/>
      <c r="M86" s="264" t="s">
        <v>114</v>
      </c>
      <c r="N86" s="264" t="s">
        <v>99</v>
      </c>
      <c r="O86" s="264" t="s">
        <v>295</v>
      </c>
      <c r="P86" s="264" t="s">
        <v>275</v>
      </c>
      <c r="Q86" s="264" t="s">
        <v>298</v>
      </c>
      <c r="R86" s="268">
        <v>111504.67</v>
      </c>
      <c r="S86" s="268">
        <v>0</v>
      </c>
      <c r="T86" s="268">
        <v>111504.67</v>
      </c>
      <c r="U86" s="268">
        <v>175900.13</v>
      </c>
      <c r="V86" s="25">
        <f t="shared" si="2"/>
        <v>111504.67</v>
      </c>
      <c r="W86" s="25" t="e">
        <f>+VLOOKUP(Q86,Breakup!C:D,2,FALSE)</f>
        <v>#N/A</v>
      </c>
    </row>
    <row r="87" spans="1:23" ht="15" customHeight="1" x14ac:dyDescent="0.25">
      <c r="A87" s="96" t="e">
        <f>+VLOOKUP(H87,Breakup!$G:$H,2,FALSE)</f>
        <v>#N/A</v>
      </c>
      <c r="C87" s="263"/>
      <c r="D87" s="263"/>
      <c r="E87" s="263"/>
      <c r="F87" s="263"/>
      <c r="G87" s="263"/>
      <c r="H87" s="263"/>
      <c r="I87" s="263"/>
      <c r="J87" s="263"/>
      <c r="K87" s="263"/>
      <c r="L87" s="263"/>
      <c r="M87" s="264" t="s">
        <v>114</v>
      </c>
      <c r="N87" s="264" t="s">
        <v>99</v>
      </c>
      <c r="O87" s="264" t="s">
        <v>299</v>
      </c>
      <c r="P87" s="264" t="s">
        <v>275</v>
      </c>
      <c r="Q87" s="264" t="s">
        <v>300</v>
      </c>
      <c r="R87" s="268">
        <v>7282.49</v>
      </c>
      <c r="S87" s="268">
        <v>0</v>
      </c>
      <c r="T87" s="268">
        <v>7282.49</v>
      </c>
      <c r="U87" s="268">
        <v>13795.13</v>
      </c>
      <c r="V87" s="25">
        <f t="shared" si="2"/>
        <v>7282.49</v>
      </c>
      <c r="W87" s="25" t="e">
        <f>+VLOOKUP(Q87,Breakup!C:D,2,FALSE)</f>
        <v>#N/A</v>
      </c>
    </row>
    <row r="88" spans="1:23" ht="15" customHeight="1" x14ac:dyDescent="0.25">
      <c r="A88" s="96" t="e">
        <f>+VLOOKUP(H88,Breakup!$G:$H,2,FALSE)</f>
        <v>#N/A</v>
      </c>
      <c r="C88" s="263"/>
      <c r="D88" s="263"/>
      <c r="E88" s="263"/>
      <c r="F88" s="263"/>
      <c r="G88" s="263"/>
      <c r="H88" s="263"/>
      <c r="I88" s="263"/>
      <c r="J88" s="263"/>
      <c r="K88" s="263"/>
      <c r="L88" s="263"/>
      <c r="M88" s="264" t="s">
        <v>114</v>
      </c>
      <c r="N88" s="264" t="s">
        <v>99</v>
      </c>
      <c r="O88" s="264" t="s">
        <v>301</v>
      </c>
      <c r="P88" s="264" t="s">
        <v>275</v>
      </c>
      <c r="Q88" s="264" t="s">
        <v>302</v>
      </c>
      <c r="R88" s="268">
        <v>2597.1999999999998</v>
      </c>
      <c r="S88" s="268">
        <v>0</v>
      </c>
      <c r="T88" s="268">
        <v>2597.1999999999998</v>
      </c>
      <c r="U88" s="268">
        <v>2597.1999999999998</v>
      </c>
      <c r="V88" s="25">
        <f t="shared" si="2"/>
        <v>2597.1999999999998</v>
      </c>
      <c r="W88" s="25" t="e">
        <f>+VLOOKUP(Q88,Breakup!C:D,2,FALSE)</f>
        <v>#N/A</v>
      </c>
    </row>
    <row r="89" spans="1:23" ht="15" customHeight="1" x14ac:dyDescent="0.25">
      <c r="A89" s="96" t="e">
        <f>+VLOOKUP(H89,Breakup!$G:$H,2,FALSE)</f>
        <v>#N/A</v>
      </c>
      <c r="C89" s="263"/>
      <c r="D89" s="263"/>
      <c r="E89" s="263"/>
      <c r="F89" s="263"/>
      <c r="G89" s="263"/>
      <c r="H89" s="263"/>
      <c r="I89" s="263"/>
      <c r="J89" s="263"/>
      <c r="K89" s="263"/>
      <c r="L89" s="263"/>
      <c r="M89" s="264" t="s">
        <v>114</v>
      </c>
      <c r="N89" s="264" t="s">
        <v>99</v>
      </c>
      <c r="O89" s="264" t="s">
        <v>303</v>
      </c>
      <c r="P89" s="264" t="s">
        <v>275</v>
      </c>
      <c r="Q89" s="264" t="s">
        <v>265</v>
      </c>
      <c r="R89" s="268">
        <v>1085.1199999999999</v>
      </c>
      <c r="S89" s="268">
        <v>0</v>
      </c>
      <c r="T89" s="268">
        <v>1085.1199999999999</v>
      </c>
      <c r="U89" s="268">
        <v>1085.1199999999999</v>
      </c>
      <c r="V89" s="25">
        <f t="shared" si="2"/>
        <v>1085.1199999999999</v>
      </c>
      <c r="W89" s="25" t="e">
        <f>+VLOOKUP(Q89,Breakup!C:D,2,FALSE)</f>
        <v>#N/A</v>
      </c>
    </row>
    <row r="90" spans="1:23" ht="15" customHeight="1" x14ac:dyDescent="0.25">
      <c r="A90" s="96" t="e">
        <f>+VLOOKUP(H90,Breakup!$G:$H,2,FALSE)</f>
        <v>#N/A</v>
      </c>
      <c r="C90" s="263"/>
      <c r="D90" s="263"/>
      <c r="E90" s="263"/>
      <c r="F90" s="263"/>
      <c r="G90" s="263"/>
      <c r="H90" s="263"/>
      <c r="I90" s="263"/>
      <c r="J90" s="263"/>
      <c r="K90" s="263"/>
      <c r="L90" s="263"/>
      <c r="M90" s="264" t="s">
        <v>114</v>
      </c>
      <c r="N90" s="264" t="s">
        <v>99</v>
      </c>
      <c r="O90" s="264" t="s">
        <v>304</v>
      </c>
      <c r="P90" s="264" t="s">
        <v>252</v>
      </c>
      <c r="Q90" s="264" t="s">
        <v>305</v>
      </c>
      <c r="R90" s="268">
        <v>0</v>
      </c>
      <c r="S90" s="268">
        <v>0</v>
      </c>
      <c r="T90" s="268">
        <v>0</v>
      </c>
      <c r="U90" s="268">
        <v>0</v>
      </c>
      <c r="V90" s="25">
        <f t="shared" si="2"/>
        <v>0</v>
      </c>
      <c r="W90" s="25" t="e">
        <f>+VLOOKUP(Q90,Breakup!C:D,2,FALSE)</f>
        <v>#N/A</v>
      </c>
    </row>
    <row r="91" spans="1:23" ht="15" customHeight="1" x14ac:dyDescent="0.25">
      <c r="C91" s="263"/>
      <c r="D91" s="263"/>
      <c r="E91" s="263"/>
      <c r="F91" s="263"/>
      <c r="G91" s="263"/>
      <c r="H91" s="263"/>
      <c r="I91" s="263"/>
      <c r="J91" s="263"/>
      <c r="K91" s="263"/>
      <c r="L91" s="263"/>
      <c r="M91" s="264" t="s">
        <v>114</v>
      </c>
      <c r="N91" s="264" t="s">
        <v>99</v>
      </c>
      <c r="O91" s="264" t="s">
        <v>307</v>
      </c>
      <c r="P91" s="264" t="s">
        <v>308</v>
      </c>
      <c r="Q91" s="264" t="s">
        <v>309</v>
      </c>
      <c r="R91" s="268">
        <v>2456.85</v>
      </c>
      <c r="S91" s="268">
        <v>0</v>
      </c>
      <c r="T91" s="268">
        <v>2456.85</v>
      </c>
      <c r="U91" s="268">
        <v>4424.8500000000004</v>
      </c>
      <c r="V91" s="25">
        <f t="shared" si="2"/>
        <v>2456.85</v>
      </c>
      <c r="W91" s="25" t="e">
        <f>+VLOOKUP(Q91,Breakup!C:D,2,FALSE)</f>
        <v>#N/A</v>
      </c>
    </row>
    <row r="92" spans="1:23" ht="15" customHeight="1" x14ac:dyDescent="0.25">
      <c r="C92" s="263"/>
      <c r="D92" s="263"/>
      <c r="E92" s="263"/>
      <c r="F92" s="263"/>
      <c r="G92" s="263"/>
      <c r="H92" s="263"/>
      <c r="I92" s="263"/>
      <c r="J92" s="263"/>
      <c r="K92" s="263"/>
      <c r="L92" s="263"/>
      <c r="M92" s="264" t="s">
        <v>114</v>
      </c>
      <c r="N92" s="264" t="s">
        <v>99</v>
      </c>
      <c r="O92" s="264" t="s">
        <v>310</v>
      </c>
      <c r="P92" s="264" t="s">
        <v>289</v>
      </c>
      <c r="Q92" s="264" t="s">
        <v>311</v>
      </c>
      <c r="R92" s="268">
        <v>54975.6</v>
      </c>
      <c r="S92" s="268">
        <v>0</v>
      </c>
      <c r="T92" s="268">
        <v>54975.6</v>
      </c>
      <c r="U92" s="268">
        <v>81047.759999999995</v>
      </c>
      <c r="V92" s="25">
        <f t="shared" si="2"/>
        <v>54975.6</v>
      </c>
      <c r="W92" s="25" t="e">
        <f>+VLOOKUP(Q92,Breakup!C:D,2,FALSE)</f>
        <v>#N/A</v>
      </c>
    </row>
    <row r="93" spans="1:23" ht="15" customHeight="1" x14ac:dyDescent="0.25">
      <c r="C93" s="263"/>
      <c r="D93" s="263"/>
      <c r="E93" s="263"/>
      <c r="F93" s="263"/>
      <c r="G93" s="263"/>
      <c r="H93" s="263"/>
      <c r="I93" s="263"/>
      <c r="J93" s="263"/>
      <c r="K93" s="263"/>
      <c r="L93" s="263"/>
      <c r="M93" s="264" t="s">
        <v>114</v>
      </c>
      <c r="N93" s="264" t="s">
        <v>99</v>
      </c>
      <c r="O93" s="264" t="s">
        <v>312</v>
      </c>
      <c r="P93" s="264" t="s">
        <v>289</v>
      </c>
      <c r="Q93" s="264" t="s">
        <v>313</v>
      </c>
      <c r="R93" s="268">
        <v>235476.36</v>
      </c>
      <c r="S93" s="268">
        <v>0</v>
      </c>
      <c r="T93" s="268">
        <v>235476.36</v>
      </c>
      <c r="U93" s="268">
        <v>386986.44</v>
      </c>
      <c r="V93" s="25">
        <f t="shared" si="2"/>
        <v>235476.36</v>
      </c>
      <c r="W93" s="25" t="e">
        <f>+VLOOKUP(Q93,Breakup!C:D,2,FALSE)</f>
        <v>#N/A</v>
      </c>
    </row>
    <row r="94" spans="1:23" ht="15" customHeight="1" x14ac:dyDescent="0.25">
      <c r="C94" s="263"/>
      <c r="D94" s="263"/>
      <c r="E94" s="263"/>
      <c r="F94" s="263"/>
      <c r="G94" s="263"/>
      <c r="H94" s="263"/>
      <c r="I94" s="263"/>
      <c r="J94" s="263"/>
      <c r="K94" s="263"/>
      <c r="L94" s="263"/>
      <c r="M94" s="264" t="s">
        <v>114</v>
      </c>
      <c r="N94" s="264" t="s">
        <v>99</v>
      </c>
      <c r="O94" s="264" t="s">
        <v>314</v>
      </c>
      <c r="P94" s="264" t="s">
        <v>289</v>
      </c>
      <c r="Q94" s="264" t="s">
        <v>315</v>
      </c>
      <c r="R94" s="268">
        <v>85526.88</v>
      </c>
      <c r="S94" s="268">
        <v>0</v>
      </c>
      <c r="T94" s="268">
        <v>85526.88</v>
      </c>
      <c r="U94" s="268">
        <v>90347.88</v>
      </c>
      <c r="V94" s="25">
        <f t="shared" si="2"/>
        <v>85526.88</v>
      </c>
      <c r="W94" s="25" t="e">
        <f>+VLOOKUP(Q94,Breakup!C:D,2,FALSE)</f>
        <v>#N/A</v>
      </c>
    </row>
    <row r="95" spans="1:23" ht="15" customHeight="1" x14ac:dyDescent="0.25">
      <c r="C95" s="263"/>
      <c r="D95" s="263"/>
      <c r="E95" s="263"/>
      <c r="F95" s="263"/>
      <c r="G95" s="263"/>
      <c r="H95" s="263"/>
      <c r="I95" s="263"/>
      <c r="J95" s="263"/>
      <c r="K95" s="263"/>
      <c r="L95" s="263"/>
      <c r="M95" s="264" t="s">
        <v>114</v>
      </c>
      <c r="N95" s="264" t="s">
        <v>99</v>
      </c>
      <c r="O95" s="264" t="s">
        <v>316</v>
      </c>
      <c r="P95" s="264" t="s">
        <v>289</v>
      </c>
      <c r="Q95" s="264" t="s">
        <v>317</v>
      </c>
      <c r="R95" s="268">
        <v>0</v>
      </c>
      <c r="S95" s="268">
        <v>0</v>
      </c>
      <c r="T95" s="268">
        <v>0</v>
      </c>
      <c r="U95" s="268">
        <v>0</v>
      </c>
      <c r="V95" s="25">
        <f t="shared" si="2"/>
        <v>0</v>
      </c>
      <c r="W95" s="25" t="e">
        <f>+VLOOKUP(Q95,Breakup!C:D,2,FALSE)</f>
        <v>#N/A</v>
      </c>
    </row>
    <row r="96" spans="1:23" ht="15" customHeight="1" x14ac:dyDescent="0.25">
      <c r="C96" s="263"/>
      <c r="D96" s="263"/>
      <c r="E96" s="263"/>
      <c r="F96" s="263"/>
      <c r="G96" s="263"/>
      <c r="H96" s="263"/>
      <c r="I96" s="263"/>
      <c r="J96" s="263"/>
      <c r="K96" s="263"/>
      <c r="L96" s="263"/>
      <c r="M96" s="264" t="s">
        <v>114</v>
      </c>
      <c r="N96" s="264" t="s">
        <v>99</v>
      </c>
      <c r="O96" s="264" t="s">
        <v>318</v>
      </c>
      <c r="P96" s="264" t="s">
        <v>289</v>
      </c>
      <c r="Q96" s="264" t="s">
        <v>319</v>
      </c>
      <c r="R96" s="268">
        <v>0</v>
      </c>
      <c r="S96" s="268">
        <v>0</v>
      </c>
      <c r="T96" s="268">
        <v>0</v>
      </c>
      <c r="U96" s="268">
        <v>0</v>
      </c>
      <c r="V96" s="25">
        <f t="shared" si="2"/>
        <v>0</v>
      </c>
      <c r="W96" s="25" t="e">
        <f>+VLOOKUP(Q96,Breakup!C:D,2,FALSE)</f>
        <v>#N/A</v>
      </c>
    </row>
    <row r="97" spans="3:23" ht="15" customHeight="1" x14ac:dyDescent="0.25">
      <c r="C97" s="263"/>
      <c r="D97" s="263"/>
      <c r="E97" s="263"/>
      <c r="F97" s="263"/>
      <c r="G97" s="263"/>
      <c r="H97" s="263"/>
      <c r="I97" s="263"/>
      <c r="J97" s="263"/>
      <c r="K97" s="263"/>
      <c r="L97" s="263"/>
      <c r="M97" s="264" t="s">
        <v>114</v>
      </c>
      <c r="N97" s="264" t="s">
        <v>99</v>
      </c>
      <c r="O97" s="264" t="s">
        <v>320</v>
      </c>
      <c r="P97" s="264" t="s">
        <v>289</v>
      </c>
      <c r="Q97" s="264" t="s">
        <v>321</v>
      </c>
      <c r="R97" s="268">
        <v>187522.4</v>
      </c>
      <c r="S97" s="268">
        <v>0</v>
      </c>
      <c r="T97" s="268">
        <v>187522.4</v>
      </c>
      <c r="U97" s="268">
        <v>561391.96</v>
      </c>
      <c r="V97" s="25">
        <f t="shared" si="2"/>
        <v>187522.4</v>
      </c>
      <c r="W97" s="25" t="e">
        <f>+VLOOKUP(Q97,Breakup!C:D,2,FALSE)</f>
        <v>#N/A</v>
      </c>
    </row>
    <row r="98" spans="3:23" ht="15" customHeight="1" x14ac:dyDescent="0.25">
      <c r="C98" s="263"/>
      <c r="D98" s="263"/>
      <c r="E98" s="263"/>
      <c r="F98" s="263"/>
      <c r="G98" s="263"/>
      <c r="H98" s="263"/>
      <c r="I98" s="263"/>
      <c r="J98" s="263"/>
      <c r="K98" s="263"/>
      <c r="L98" s="263"/>
      <c r="M98" s="264" t="s">
        <v>114</v>
      </c>
      <c r="N98" s="264" t="s">
        <v>99</v>
      </c>
      <c r="O98" s="264" t="s">
        <v>320</v>
      </c>
      <c r="P98" s="264" t="s">
        <v>252</v>
      </c>
      <c r="Q98" s="264" t="s">
        <v>322</v>
      </c>
      <c r="R98" s="268">
        <v>370.36</v>
      </c>
      <c r="S98" s="268">
        <v>0</v>
      </c>
      <c r="T98" s="268">
        <v>370.36</v>
      </c>
      <c r="U98" s="268">
        <v>370.36</v>
      </c>
      <c r="V98" s="25">
        <f t="shared" si="2"/>
        <v>370.36</v>
      </c>
      <c r="W98" s="25" t="e">
        <f>+VLOOKUP(Q98,Breakup!C:D,2,FALSE)</f>
        <v>#N/A</v>
      </c>
    </row>
    <row r="99" spans="3:23" ht="15" customHeight="1" x14ac:dyDescent="0.25">
      <c r="C99" s="263"/>
      <c r="D99" s="263"/>
      <c r="E99" s="263"/>
      <c r="F99" s="263"/>
      <c r="G99" s="263"/>
      <c r="H99" s="263"/>
      <c r="I99" s="263"/>
      <c r="J99" s="263"/>
      <c r="K99" s="263"/>
      <c r="L99" s="263"/>
      <c r="M99" s="264" t="s">
        <v>114</v>
      </c>
      <c r="N99" s="264" t="s">
        <v>99</v>
      </c>
      <c r="O99" s="264" t="s">
        <v>323</v>
      </c>
      <c r="P99" s="264" t="s">
        <v>289</v>
      </c>
      <c r="Q99" s="264" t="s">
        <v>324</v>
      </c>
      <c r="R99" s="268">
        <v>26452.06</v>
      </c>
      <c r="S99" s="268">
        <v>0</v>
      </c>
      <c r="T99" s="268">
        <v>26452.06</v>
      </c>
      <c r="U99" s="268">
        <v>54601.24</v>
      </c>
      <c r="V99" s="25">
        <f t="shared" si="2"/>
        <v>26452.06</v>
      </c>
      <c r="W99" s="25" t="e">
        <f>+VLOOKUP(Q99,Breakup!C:D,2,FALSE)</f>
        <v>#N/A</v>
      </c>
    </row>
    <row r="100" spans="3:23" ht="15" customHeight="1" x14ac:dyDescent="0.25">
      <c r="C100" s="263"/>
      <c r="D100" s="263"/>
      <c r="E100" s="263"/>
      <c r="F100" s="263"/>
      <c r="G100" s="263"/>
      <c r="H100" s="263"/>
      <c r="I100" s="263"/>
      <c r="J100" s="263"/>
      <c r="K100" s="263"/>
      <c r="L100" s="263"/>
      <c r="M100" s="264" t="s">
        <v>114</v>
      </c>
      <c r="N100" s="264" t="s">
        <v>99</v>
      </c>
      <c r="O100" s="264" t="s">
        <v>325</v>
      </c>
      <c r="P100" s="264" t="s">
        <v>289</v>
      </c>
      <c r="Q100" s="264" t="s">
        <v>326</v>
      </c>
      <c r="R100" s="268">
        <v>1670.38</v>
      </c>
      <c r="S100" s="268">
        <v>0</v>
      </c>
      <c r="T100" s="268">
        <v>1670.38</v>
      </c>
      <c r="U100" s="268">
        <v>1670.38</v>
      </c>
      <c r="V100" s="25">
        <f t="shared" si="2"/>
        <v>1670.38</v>
      </c>
      <c r="W100" s="25" t="e">
        <f>+VLOOKUP(Q100,Breakup!C:D,2,FALSE)</f>
        <v>#N/A</v>
      </c>
    </row>
    <row r="101" spans="3:23" ht="15" customHeight="1" x14ac:dyDescent="0.25">
      <c r="C101" s="263"/>
      <c r="D101" s="263"/>
      <c r="E101" s="263"/>
      <c r="F101" s="263"/>
      <c r="G101" s="263"/>
      <c r="H101" s="263"/>
      <c r="I101" s="263"/>
      <c r="J101" s="263"/>
      <c r="K101" s="263"/>
      <c r="L101" s="263"/>
      <c r="M101" s="264" t="s">
        <v>114</v>
      </c>
      <c r="N101" s="264" t="s">
        <v>99</v>
      </c>
      <c r="O101" s="264" t="s">
        <v>327</v>
      </c>
      <c r="P101" s="264" t="s">
        <v>289</v>
      </c>
      <c r="Q101" s="264" t="s">
        <v>328</v>
      </c>
      <c r="R101" s="268">
        <v>239302.32</v>
      </c>
      <c r="S101" s="268">
        <v>0</v>
      </c>
      <c r="T101" s="268">
        <v>239302.32</v>
      </c>
      <c r="U101" s="268">
        <v>409492.84</v>
      </c>
      <c r="V101" s="25">
        <f t="shared" si="2"/>
        <v>239302.32</v>
      </c>
      <c r="W101" s="25" t="e">
        <f>+VLOOKUP(Q101,Breakup!C:D,2,FALSE)</f>
        <v>#N/A</v>
      </c>
    </row>
    <row r="102" spans="3:23" ht="15" customHeight="1" x14ac:dyDescent="0.25">
      <c r="C102" s="263"/>
      <c r="D102" s="263"/>
      <c r="E102" s="263"/>
      <c r="F102" s="263"/>
      <c r="G102" s="263"/>
      <c r="H102" s="263"/>
      <c r="I102" s="263"/>
      <c r="J102" s="263"/>
      <c r="K102" s="263"/>
      <c r="L102" s="263"/>
      <c r="M102" s="264" t="s">
        <v>114</v>
      </c>
      <c r="N102" s="264" t="s">
        <v>99</v>
      </c>
      <c r="O102" s="264" t="s">
        <v>329</v>
      </c>
      <c r="P102" s="264" t="s">
        <v>289</v>
      </c>
      <c r="Q102" s="264" t="s">
        <v>330</v>
      </c>
      <c r="R102" s="268">
        <v>51410.86</v>
      </c>
      <c r="S102" s="268">
        <v>0</v>
      </c>
      <c r="T102" s="268">
        <v>51410.86</v>
      </c>
      <c r="U102" s="268">
        <v>126720.5</v>
      </c>
      <c r="V102" s="25">
        <f t="shared" si="2"/>
        <v>51410.86</v>
      </c>
      <c r="W102" s="25" t="e">
        <f>+VLOOKUP(Q102,Breakup!C:D,2,FALSE)</f>
        <v>#N/A</v>
      </c>
    </row>
    <row r="103" spans="3:23" ht="15" customHeight="1" x14ac:dyDescent="0.25">
      <c r="C103" s="263"/>
      <c r="D103" s="263"/>
      <c r="E103" s="263"/>
      <c r="F103" s="263"/>
      <c r="G103" s="263"/>
      <c r="H103" s="263"/>
      <c r="I103" s="263"/>
      <c r="J103" s="263"/>
      <c r="K103" s="263"/>
      <c r="L103" s="263"/>
      <c r="M103" s="264" t="s">
        <v>114</v>
      </c>
      <c r="N103" s="264" t="s">
        <v>99</v>
      </c>
      <c r="O103" s="264" t="s">
        <v>329</v>
      </c>
      <c r="P103" s="264" t="s">
        <v>222</v>
      </c>
      <c r="Q103" s="264" t="s">
        <v>331</v>
      </c>
      <c r="R103" s="268">
        <v>28326.97</v>
      </c>
      <c r="S103" s="268">
        <v>0</v>
      </c>
      <c r="T103" s="268">
        <v>28326.97</v>
      </c>
      <c r="U103" s="268">
        <v>34059.660000000003</v>
      </c>
      <c r="V103" s="25">
        <f t="shared" si="2"/>
        <v>28326.97</v>
      </c>
      <c r="W103" s="25" t="e">
        <f>+VLOOKUP(Q103,Breakup!C:D,2,FALSE)</f>
        <v>#N/A</v>
      </c>
    </row>
    <row r="104" spans="3:23" ht="15" customHeight="1" x14ac:dyDescent="0.25">
      <c r="C104" s="263"/>
      <c r="D104" s="263"/>
      <c r="E104" s="263"/>
      <c r="F104" s="263"/>
      <c r="G104" s="263"/>
      <c r="H104" s="263"/>
      <c r="I104" s="263"/>
      <c r="J104" s="263"/>
      <c r="K104" s="263"/>
      <c r="L104" s="263"/>
      <c r="M104" s="264" t="s">
        <v>114</v>
      </c>
      <c r="N104" s="264" t="s">
        <v>99</v>
      </c>
      <c r="O104" s="264" t="s">
        <v>332</v>
      </c>
      <c r="P104" s="264" t="s">
        <v>289</v>
      </c>
      <c r="Q104" s="264" t="s">
        <v>333</v>
      </c>
      <c r="R104" s="268">
        <v>130172.8</v>
      </c>
      <c r="S104" s="268">
        <v>0</v>
      </c>
      <c r="T104" s="268">
        <v>130172.8</v>
      </c>
      <c r="U104" s="268">
        <v>300454.40000000002</v>
      </c>
      <c r="V104" s="25">
        <f t="shared" ref="V104:V135" si="3">+IF(P104="LW",T104,R104)+S104</f>
        <v>130172.8</v>
      </c>
      <c r="W104" s="25" t="e">
        <f>+VLOOKUP(Q104,Breakup!C:D,2,FALSE)</f>
        <v>#N/A</v>
      </c>
    </row>
    <row r="105" spans="3:23" ht="15" customHeight="1" x14ac:dyDescent="0.25">
      <c r="C105" s="263"/>
      <c r="D105" s="263"/>
      <c r="E105" s="263"/>
      <c r="F105" s="263"/>
      <c r="G105" s="263"/>
      <c r="H105" s="263"/>
      <c r="I105" s="263"/>
      <c r="J105" s="263"/>
      <c r="K105" s="263"/>
      <c r="L105" s="263"/>
      <c r="M105" s="264" t="s">
        <v>114</v>
      </c>
      <c r="N105" s="264" t="s">
        <v>99</v>
      </c>
      <c r="O105" s="264" t="s">
        <v>334</v>
      </c>
      <c r="P105" s="264" t="s">
        <v>289</v>
      </c>
      <c r="Q105" s="264" t="s">
        <v>335</v>
      </c>
      <c r="R105" s="268">
        <v>109752.42</v>
      </c>
      <c r="S105" s="268">
        <v>0</v>
      </c>
      <c r="T105" s="268">
        <v>109752.42</v>
      </c>
      <c r="U105" s="268">
        <v>219967.14</v>
      </c>
      <c r="V105" s="25">
        <f t="shared" si="3"/>
        <v>109752.42</v>
      </c>
      <c r="W105" s="25" t="e">
        <f>+VLOOKUP(Q105,Breakup!C:D,2,FALSE)</f>
        <v>#N/A</v>
      </c>
    </row>
    <row r="106" spans="3:23" ht="15" customHeight="1" x14ac:dyDescent="0.25">
      <c r="C106" s="263"/>
      <c r="D106" s="263"/>
      <c r="E106" s="263"/>
      <c r="F106" s="263"/>
      <c r="G106" s="263"/>
      <c r="H106" s="263"/>
      <c r="I106" s="263"/>
      <c r="J106" s="263"/>
      <c r="K106" s="263"/>
      <c r="L106" s="263"/>
      <c r="M106" s="264" t="s">
        <v>114</v>
      </c>
      <c r="N106" s="264" t="s">
        <v>99</v>
      </c>
      <c r="O106" s="264" t="s">
        <v>336</v>
      </c>
      <c r="P106" s="264" t="s">
        <v>252</v>
      </c>
      <c r="Q106" s="264" t="s">
        <v>337</v>
      </c>
      <c r="R106" s="268">
        <v>11827.85</v>
      </c>
      <c r="S106" s="268">
        <v>0</v>
      </c>
      <c r="T106" s="268">
        <v>11827.85</v>
      </c>
      <c r="U106" s="268">
        <v>26685</v>
      </c>
      <c r="V106" s="25">
        <f t="shared" si="3"/>
        <v>11827.85</v>
      </c>
      <c r="W106" s="25" t="e">
        <f>+VLOOKUP(Q106,Breakup!C:D,2,FALSE)</f>
        <v>#N/A</v>
      </c>
    </row>
    <row r="107" spans="3:23" ht="15" customHeight="1" x14ac:dyDescent="0.25">
      <c r="C107" s="263"/>
      <c r="D107" s="263"/>
      <c r="E107" s="263"/>
      <c r="F107" s="263"/>
      <c r="G107" s="263"/>
      <c r="H107" s="263"/>
      <c r="I107" s="263"/>
      <c r="J107" s="263"/>
      <c r="K107" s="263"/>
      <c r="L107" s="263"/>
      <c r="M107" s="264" t="s">
        <v>114</v>
      </c>
      <c r="N107" s="264" t="s">
        <v>99</v>
      </c>
      <c r="O107" s="264" t="s">
        <v>338</v>
      </c>
      <c r="P107" s="264" t="s">
        <v>222</v>
      </c>
      <c r="Q107" s="264" t="s">
        <v>339</v>
      </c>
      <c r="R107" s="268">
        <v>35520</v>
      </c>
      <c r="S107" s="268">
        <v>0</v>
      </c>
      <c r="T107" s="268">
        <v>35520</v>
      </c>
      <c r="U107" s="268">
        <v>51800</v>
      </c>
      <c r="V107" s="25">
        <f t="shared" si="3"/>
        <v>35520</v>
      </c>
      <c r="W107" s="25" t="e">
        <f>+VLOOKUP(Q107,Breakup!C:D,2,FALSE)</f>
        <v>#N/A</v>
      </c>
    </row>
    <row r="108" spans="3:23" ht="15" customHeight="1" x14ac:dyDescent="0.25">
      <c r="C108" s="263"/>
      <c r="D108" s="263"/>
      <c r="E108" s="263"/>
      <c r="F108" s="263"/>
      <c r="G108" s="263"/>
      <c r="H108" s="263"/>
      <c r="I108" s="263"/>
      <c r="J108" s="263"/>
      <c r="K108" s="263"/>
      <c r="L108" s="263"/>
      <c r="M108" s="264" t="s">
        <v>114</v>
      </c>
      <c r="N108" s="264" t="s">
        <v>99</v>
      </c>
      <c r="O108" s="264" t="s">
        <v>340</v>
      </c>
      <c r="P108" s="264" t="s">
        <v>279</v>
      </c>
      <c r="Q108" s="264" t="s">
        <v>341</v>
      </c>
      <c r="R108" s="268">
        <v>358116.33</v>
      </c>
      <c r="S108" s="268">
        <v>0</v>
      </c>
      <c r="T108" s="268">
        <v>358116.33</v>
      </c>
      <c r="U108" s="268">
        <v>542763</v>
      </c>
      <c r="V108" s="25">
        <f t="shared" si="3"/>
        <v>358116.33</v>
      </c>
      <c r="W108" s="25" t="e">
        <f>+VLOOKUP(Q108,Breakup!C:D,2,FALSE)</f>
        <v>#N/A</v>
      </c>
    </row>
    <row r="109" spans="3:23" ht="15" customHeight="1" x14ac:dyDescent="0.25">
      <c r="C109" s="263"/>
      <c r="D109" s="263"/>
      <c r="E109" s="263"/>
      <c r="F109" s="263"/>
      <c r="G109" s="263"/>
      <c r="H109" s="263"/>
      <c r="I109" s="263"/>
      <c r="J109" s="263"/>
      <c r="K109" s="263"/>
      <c r="L109" s="263"/>
      <c r="M109" s="264" t="s">
        <v>114</v>
      </c>
      <c r="N109" s="264" t="s">
        <v>99</v>
      </c>
      <c r="O109" s="264" t="s">
        <v>342</v>
      </c>
      <c r="P109" s="264" t="s">
        <v>279</v>
      </c>
      <c r="Q109" s="264" t="s">
        <v>343</v>
      </c>
      <c r="R109" s="268">
        <v>54953.29</v>
      </c>
      <c r="S109" s="268">
        <v>0</v>
      </c>
      <c r="T109" s="268">
        <v>54953.29</v>
      </c>
      <c r="U109" s="268">
        <v>72301.98</v>
      </c>
      <c r="V109" s="25">
        <f t="shared" si="3"/>
        <v>54953.29</v>
      </c>
      <c r="W109" s="25" t="e">
        <f>+VLOOKUP(Q109,Breakup!C:D,2,FALSE)</f>
        <v>#N/A</v>
      </c>
    </row>
    <row r="110" spans="3:23" ht="15" customHeight="1" x14ac:dyDescent="0.25">
      <c r="C110" s="263"/>
      <c r="D110" s="263"/>
      <c r="E110" s="263"/>
      <c r="F110" s="263"/>
      <c r="G110" s="263"/>
      <c r="H110" s="263"/>
      <c r="I110" s="263"/>
      <c r="J110" s="263"/>
      <c r="K110" s="263"/>
      <c r="L110" s="263"/>
      <c r="M110" s="264" t="s">
        <v>114</v>
      </c>
      <c r="N110" s="264" t="s">
        <v>99</v>
      </c>
      <c r="O110" s="264" t="s">
        <v>344</v>
      </c>
      <c r="P110" s="264" t="s">
        <v>222</v>
      </c>
      <c r="Q110" s="264" t="s">
        <v>345</v>
      </c>
      <c r="R110" s="268">
        <v>333029.34999999998</v>
      </c>
      <c r="S110" s="268">
        <v>0</v>
      </c>
      <c r="T110" s="268">
        <v>333029.34999999998</v>
      </c>
      <c r="U110" s="268">
        <v>586553.46</v>
      </c>
      <c r="V110" s="25">
        <f t="shared" si="3"/>
        <v>333029.34999999998</v>
      </c>
      <c r="W110" s="25" t="e">
        <f>+VLOOKUP(Q110,Breakup!C:D,2,FALSE)</f>
        <v>#N/A</v>
      </c>
    </row>
    <row r="111" spans="3:23" ht="15" customHeight="1" x14ac:dyDescent="0.25">
      <c r="C111" s="263"/>
      <c r="D111" s="263"/>
      <c r="E111" s="263"/>
      <c r="F111" s="263"/>
      <c r="G111" s="263"/>
      <c r="H111" s="263"/>
      <c r="I111" s="263"/>
      <c r="J111" s="263"/>
      <c r="K111" s="263"/>
      <c r="L111" s="263"/>
      <c r="M111" s="264" t="s">
        <v>114</v>
      </c>
      <c r="N111" s="264" t="s">
        <v>99</v>
      </c>
      <c r="O111" s="264" t="s">
        <v>346</v>
      </c>
      <c r="P111" s="264" t="s">
        <v>222</v>
      </c>
      <c r="Q111" s="264" t="s">
        <v>347</v>
      </c>
      <c r="R111" s="268">
        <v>2395</v>
      </c>
      <c r="S111" s="268">
        <v>0</v>
      </c>
      <c r="T111" s="268">
        <v>2395</v>
      </c>
      <c r="U111" s="268">
        <v>39395</v>
      </c>
      <c r="V111" s="25">
        <f t="shared" si="3"/>
        <v>2395</v>
      </c>
      <c r="W111" s="25" t="e">
        <f>+VLOOKUP(Q111,Breakup!C:D,2,FALSE)</f>
        <v>#N/A</v>
      </c>
    </row>
    <row r="112" spans="3:23" ht="15" customHeight="1" x14ac:dyDescent="0.25">
      <c r="C112" s="263"/>
      <c r="D112" s="263"/>
      <c r="E112" s="263"/>
      <c r="F112" s="263"/>
      <c r="G112" s="263"/>
      <c r="H112" s="263"/>
      <c r="I112" s="263"/>
      <c r="J112" s="263"/>
      <c r="K112" s="263"/>
      <c r="L112" s="263"/>
      <c r="M112" s="264" t="s">
        <v>114</v>
      </c>
      <c r="N112" s="264" t="s">
        <v>99</v>
      </c>
      <c r="O112" s="264" t="s">
        <v>346</v>
      </c>
      <c r="P112" s="264" t="s">
        <v>279</v>
      </c>
      <c r="Q112" s="264" t="s">
        <v>348</v>
      </c>
      <c r="R112" s="268">
        <v>73430.080000000002</v>
      </c>
      <c r="S112" s="268">
        <v>0</v>
      </c>
      <c r="T112" s="268">
        <v>73430.080000000002</v>
      </c>
      <c r="U112" s="268">
        <v>143922.29999999999</v>
      </c>
      <c r="V112" s="25">
        <f t="shared" si="3"/>
        <v>73430.080000000002</v>
      </c>
      <c r="W112" s="25" t="e">
        <f>+VLOOKUP(Q112,Breakup!C:D,2,FALSE)</f>
        <v>#N/A</v>
      </c>
    </row>
    <row r="113" spans="3:23" ht="15" customHeight="1" x14ac:dyDescent="0.25">
      <c r="C113" s="263"/>
      <c r="D113" s="263"/>
      <c r="E113" s="263"/>
      <c r="F113" s="263"/>
      <c r="G113" s="263"/>
      <c r="H113" s="263"/>
      <c r="I113" s="263"/>
      <c r="J113" s="263"/>
      <c r="K113" s="263"/>
      <c r="L113" s="263"/>
      <c r="M113" s="264" t="s">
        <v>114</v>
      </c>
      <c r="N113" s="264" t="s">
        <v>99</v>
      </c>
      <c r="O113" s="264" t="s">
        <v>349</v>
      </c>
      <c r="P113" s="264" t="s">
        <v>222</v>
      </c>
      <c r="Q113" s="264" t="s">
        <v>350</v>
      </c>
      <c r="R113" s="268">
        <v>0</v>
      </c>
      <c r="S113" s="268">
        <v>0</v>
      </c>
      <c r="T113" s="268">
        <v>0</v>
      </c>
      <c r="U113" s="268">
        <v>106900</v>
      </c>
      <c r="V113" s="25">
        <f t="shared" si="3"/>
        <v>0</v>
      </c>
      <c r="W113" s="25" t="e">
        <f>+VLOOKUP(Q113,Breakup!C:D,2,FALSE)</f>
        <v>#N/A</v>
      </c>
    </row>
    <row r="114" spans="3:23" ht="15" customHeight="1" x14ac:dyDescent="0.25">
      <c r="C114" s="263"/>
      <c r="D114" s="263"/>
      <c r="E114" s="263"/>
      <c r="F114" s="263"/>
      <c r="G114" s="263"/>
      <c r="H114" s="263"/>
      <c r="I114" s="263"/>
      <c r="J114" s="263"/>
      <c r="K114" s="263"/>
      <c r="L114" s="263"/>
      <c r="M114" s="264" t="s">
        <v>114</v>
      </c>
      <c r="N114" s="264" t="s">
        <v>99</v>
      </c>
      <c r="O114" s="264" t="s">
        <v>467</v>
      </c>
      <c r="P114" s="264" t="s">
        <v>222</v>
      </c>
      <c r="Q114" s="264" t="s">
        <v>468</v>
      </c>
      <c r="R114" s="268">
        <v>0</v>
      </c>
      <c r="S114" s="268">
        <v>0</v>
      </c>
      <c r="T114" s="268">
        <v>0</v>
      </c>
      <c r="U114" s="268">
        <v>60000</v>
      </c>
      <c r="V114" s="25">
        <f t="shared" si="3"/>
        <v>0</v>
      </c>
      <c r="W114" s="25" t="e">
        <f>+VLOOKUP(Q114,Breakup!C:D,2,FALSE)</f>
        <v>#N/A</v>
      </c>
    </row>
    <row r="115" spans="3:23" ht="15" customHeight="1" x14ac:dyDescent="0.25">
      <c r="C115" s="263"/>
      <c r="D115" s="263"/>
      <c r="E115" s="263"/>
      <c r="F115" s="263"/>
      <c r="G115" s="263"/>
      <c r="H115" s="263"/>
      <c r="I115" s="263"/>
      <c r="J115" s="263"/>
      <c r="K115" s="263"/>
      <c r="L115" s="263"/>
      <c r="M115" s="264" t="s">
        <v>114</v>
      </c>
      <c r="N115" s="264" t="s">
        <v>99</v>
      </c>
      <c r="O115" s="264" t="s">
        <v>351</v>
      </c>
      <c r="P115" s="264" t="s">
        <v>226</v>
      </c>
      <c r="Q115" s="264" t="s">
        <v>231</v>
      </c>
      <c r="R115" s="268">
        <v>0</v>
      </c>
      <c r="S115" s="268">
        <v>0</v>
      </c>
      <c r="T115" s="268">
        <v>0</v>
      </c>
      <c r="U115" s="268">
        <v>0</v>
      </c>
      <c r="V115" s="25">
        <f t="shared" si="3"/>
        <v>0</v>
      </c>
      <c r="W115" s="25" t="e">
        <f>+VLOOKUP(Q115,Breakup!C:D,2,FALSE)</f>
        <v>#N/A</v>
      </c>
    </row>
    <row r="116" spans="3:23" ht="15" customHeight="1" x14ac:dyDescent="0.25">
      <c r="C116" s="263"/>
      <c r="D116" s="263"/>
      <c r="E116" s="263"/>
      <c r="F116" s="263"/>
      <c r="G116" s="263"/>
      <c r="H116" s="263"/>
      <c r="I116" s="263"/>
      <c r="J116" s="263"/>
      <c r="K116" s="263"/>
      <c r="L116" s="263"/>
      <c r="M116" s="264" t="s">
        <v>114</v>
      </c>
      <c r="N116" s="264" t="s">
        <v>99</v>
      </c>
      <c r="O116" s="264" t="s">
        <v>352</v>
      </c>
      <c r="P116" s="264" t="s">
        <v>140</v>
      </c>
      <c r="Q116" s="264" t="s">
        <v>353</v>
      </c>
      <c r="R116" s="268">
        <v>450</v>
      </c>
      <c r="S116" s="268">
        <v>0</v>
      </c>
      <c r="T116" s="268">
        <v>450</v>
      </c>
      <c r="U116" s="268">
        <v>2500</v>
      </c>
      <c r="V116" s="25">
        <f t="shared" si="3"/>
        <v>450</v>
      </c>
      <c r="W116" s="25" t="e">
        <f>+VLOOKUP(Q116,Breakup!C:D,2,FALSE)</f>
        <v>#N/A</v>
      </c>
    </row>
    <row r="117" spans="3:23" ht="15" customHeight="1" x14ac:dyDescent="0.25">
      <c r="C117" s="263"/>
      <c r="D117" s="263"/>
      <c r="E117" s="263"/>
      <c r="F117" s="263"/>
      <c r="G117" s="263"/>
      <c r="H117" s="263"/>
      <c r="I117" s="263"/>
      <c r="J117" s="263"/>
      <c r="K117" s="263"/>
      <c r="L117" s="263"/>
      <c r="M117" s="264" t="s">
        <v>114</v>
      </c>
      <c r="N117" s="264" t="s">
        <v>99</v>
      </c>
      <c r="O117" s="264" t="s">
        <v>354</v>
      </c>
      <c r="P117" s="264" t="s">
        <v>252</v>
      </c>
      <c r="Q117" s="264" t="s">
        <v>355</v>
      </c>
      <c r="R117" s="268">
        <v>0</v>
      </c>
      <c r="S117" s="268">
        <v>0</v>
      </c>
      <c r="T117" s="268">
        <v>0</v>
      </c>
      <c r="U117" s="268">
        <v>16200</v>
      </c>
      <c r="V117" s="25">
        <f t="shared" si="3"/>
        <v>0</v>
      </c>
      <c r="W117" s="25" t="e">
        <f>+VLOOKUP(Q117,Breakup!C:D,2,FALSE)</f>
        <v>#N/A</v>
      </c>
    </row>
    <row r="118" spans="3:23" ht="15" customHeight="1" x14ac:dyDescent="0.25">
      <c r="C118" s="263"/>
      <c r="D118" s="263"/>
      <c r="E118" s="263"/>
      <c r="F118" s="263"/>
      <c r="G118" s="263"/>
      <c r="H118" s="263"/>
      <c r="I118" s="263"/>
      <c r="J118" s="263"/>
      <c r="K118" s="263"/>
      <c r="L118" s="263"/>
      <c r="M118" s="264" t="s">
        <v>114</v>
      </c>
      <c r="N118" s="264" t="s">
        <v>99</v>
      </c>
      <c r="O118" s="264" t="s">
        <v>356</v>
      </c>
      <c r="P118" s="264" t="s">
        <v>275</v>
      </c>
      <c r="Q118" s="264" t="s">
        <v>357</v>
      </c>
      <c r="R118" s="268">
        <v>17962.189999999999</v>
      </c>
      <c r="S118" s="268">
        <v>0</v>
      </c>
      <c r="T118" s="268">
        <v>17962.189999999999</v>
      </c>
      <c r="U118" s="268">
        <v>25516.18</v>
      </c>
      <c r="V118" s="25">
        <f t="shared" si="3"/>
        <v>17962.189999999999</v>
      </c>
      <c r="W118" s="25" t="e">
        <f>+VLOOKUP(Q118,Breakup!C:D,2,FALSE)</f>
        <v>#N/A</v>
      </c>
    </row>
    <row r="119" spans="3:23" ht="15" customHeight="1" x14ac:dyDescent="0.25">
      <c r="C119" s="263"/>
      <c r="D119" s="263"/>
      <c r="E119" s="263"/>
      <c r="F119" s="263"/>
      <c r="G119" s="263"/>
      <c r="H119" s="263"/>
      <c r="I119" s="263"/>
      <c r="J119" s="263"/>
      <c r="K119" s="263"/>
      <c r="L119" s="263"/>
      <c r="M119" s="264" t="s">
        <v>114</v>
      </c>
      <c r="N119" s="264" t="s">
        <v>99</v>
      </c>
      <c r="O119" s="264" t="s">
        <v>358</v>
      </c>
      <c r="P119" s="264" t="s">
        <v>275</v>
      </c>
      <c r="Q119" s="264" t="s">
        <v>359</v>
      </c>
      <c r="R119" s="268">
        <v>7899.24</v>
      </c>
      <c r="S119" s="268">
        <v>0</v>
      </c>
      <c r="T119" s="268">
        <v>7899.24</v>
      </c>
      <c r="U119" s="268">
        <v>9924.7800000000007</v>
      </c>
      <c r="V119" s="25">
        <f t="shared" si="3"/>
        <v>7899.24</v>
      </c>
      <c r="W119" s="25" t="e">
        <f>+VLOOKUP(Q119,Breakup!C:D,2,FALSE)</f>
        <v>#N/A</v>
      </c>
    </row>
    <row r="120" spans="3:23" ht="15" customHeight="1" x14ac:dyDescent="0.25">
      <c r="C120" s="263"/>
      <c r="D120" s="263"/>
      <c r="E120" s="263"/>
      <c r="F120" s="263"/>
      <c r="G120" s="263"/>
      <c r="H120" s="263"/>
      <c r="I120" s="263"/>
      <c r="J120" s="263"/>
      <c r="K120" s="263"/>
      <c r="L120" s="263"/>
      <c r="M120" s="264" t="s">
        <v>114</v>
      </c>
      <c r="N120" s="264" t="s">
        <v>99</v>
      </c>
      <c r="O120" s="264" t="s">
        <v>360</v>
      </c>
      <c r="P120" s="264" t="s">
        <v>275</v>
      </c>
      <c r="Q120" s="264" t="s">
        <v>300</v>
      </c>
      <c r="R120" s="268">
        <v>0</v>
      </c>
      <c r="S120" s="268">
        <v>0</v>
      </c>
      <c r="T120" s="268">
        <v>0</v>
      </c>
      <c r="U120" s="268">
        <v>0</v>
      </c>
      <c r="V120" s="25">
        <f t="shared" si="3"/>
        <v>0</v>
      </c>
      <c r="W120" s="25" t="e">
        <f>+VLOOKUP(Q120,Breakup!C:D,2,FALSE)</f>
        <v>#N/A</v>
      </c>
    </row>
    <row r="121" spans="3:23" ht="15" customHeight="1" x14ac:dyDescent="0.25">
      <c r="C121" s="263"/>
      <c r="D121" s="263"/>
      <c r="E121" s="263"/>
      <c r="F121" s="263"/>
      <c r="G121" s="263"/>
      <c r="H121" s="263"/>
      <c r="I121" s="263"/>
      <c r="J121" s="263"/>
      <c r="K121" s="263"/>
      <c r="L121" s="263"/>
      <c r="M121" s="264" t="s">
        <v>114</v>
      </c>
      <c r="N121" s="264" t="s">
        <v>99</v>
      </c>
      <c r="O121" s="264" t="s">
        <v>361</v>
      </c>
      <c r="P121" s="264" t="s">
        <v>275</v>
      </c>
      <c r="Q121" s="264" t="s">
        <v>485</v>
      </c>
      <c r="R121" s="268">
        <v>41118.400000000001</v>
      </c>
      <c r="S121" s="268">
        <v>0</v>
      </c>
      <c r="T121" s="268">
        <v>41118.400000000001</v>
      </c>
      <c r="U121" s="268">
        <v>37794.86</v>
      </c>
      <c r="V121" s="25">
        <f t="shared" si="3"/>
        <v>41118.400000000001</v>
      </c>
      <c r="W121" s="25" t="e">
        <f>+VLOOKUP(Q121,Breakup!C:D,2,FALSE)</f>
        <v>#N/A</v>
      </c>
    </row>
    <row r="122" spans="3:23" ht="15" customHeight="1" x14ac:dyDescent="0.25">
      <c r="C122" s="263"/>
      <c r="D122" s="263"/>
      <c r="E122" s="263"/>
      <c r="F122" s="263"/>
      <c r="G122" s="263"/>
      <c r="H122" s="263"/>
      <c r="I122" s="263"/>
      <c r="J122" s="263"/>
      <c r="K122" s="263"/>
      <c r="L122" s="263"/>
      <c r="M122" s="264" t="s">
        <v>114</v>
      </c>
      <c r="N122" s="264" t="s">
        <v>99</v>
      </c>
      <c r="O122" s="264" t="s">
        <v>362</v>
      </c>
      <c r="P122" s="264" t="s">
        <v>275</v>
      </c>
      <c r="Q122" s="264" t="s">
        <v>363</v>
      </c>
      <c r="R122" s="268">
        <v>0</v>
      </c>
      <c r="S122" s="268">
        <v>0</v>
      </c>
      <c r="T122" s="268">
        <v>0</v>
      </c>
      <c r="U122" s="268">
        <v>0</v>
      </c>
      <c r="V122" s="25">
        <f t="shared" si="3"/>
        <v>0</v>
      </c>
      <c r="W122" s="25" t="e">
        <f>+VLOOKUP(Q122,Breakup!C:D,2,FALSE)</f>
        <v>#N/A</v>
      </c>
    </row>
    <row r="123" spans="3:23" ht="15" customHeight="1" x14ac:dyDescent="0.25">
      <c r="C123" s="263"/>
      <c r="D123" s="263"/>
      <c r="E123" s="263"/>
      <c r="F123" s="263"/>
      <c r="G123" s="263"/>
      <c r="H123" s="263"/>
      <c r="I123" s="263"/>
      <c r="J123" s="263"/>
      <c r="K123" s="263"/>
      <c r="L123" s="263"/>
      <c r="M123" s="264" t="s">
        <v>114</v>
      </c>
      <c r="N123" s="264" t="s">
        <v>99</v>
      </c>
      <c r="O123" s="264" t="s">
        <v>364</v>
      </c>
      <c r="P123" s="264" t="s">
        <v>222</v>
      </c>
      <c r="Q123" s="264" t="s">
        <v>365</v>
      </c>
      <c r="R123" s="268">
        <v>2422.5</v>
      </c>
      <c r="S123" s="268">
        <v>0</v>
      </c>
      <c r="T123" s="268">
        <v>2422.5</v>
      </c>
      <c r="U123" s="268">
        <v>11634.06</v>
      </c>
      <c r="V123" s="25">
        <f t="shared" si="3"/>
        <v>2422.5</v>
      </c>
      <c r="W123" s="25" t="e">
        <f>+VLOOKUP(Q123,Breakup!C:D,2,FALSE)</f>
        <v>#N/A</v>
      </c>
    </row>
    <row r="124" spans="3:23" ht="15" customHeight="1" x14ac:dyDescent="0.25">
      <c r="C124" s="263"/>
      <c r="D124" s="263"/>
      <c r="E124" s="263"/>
      <c r="F124" s="263"/>
      <c r="G124" s="263"/>
      <c r="H124" s="263"/>
      <c r="I124" s="263"/>
      <c r="J124" s="263"/>
      <c r="K124" s="263"/>
      <c r="L124" s="263"/>
      <c r="M124" s="264" t="s">
        <v>114</v>
      </c>
      <c r="N124" s="264" t="s">
        <v>99</v>
      </c>
      <c r="O124" s="264" t="s">
        <v>366</v>
      </c>
      <c r="P124" s="264" t="s">
        <v>275</v>
      </c>
      <c r="Q124" s="264" t="s">
        <v>306</v>
      </c>
      <c r="R124" s="268">
        <v>0</v>
      </c>
      <c r="S124" s="268">
        <v>0</v>
      </c>
      <c r="T124" s="268">
        <v>0</v>
      </c>
      <c r="U124" s="268">
        <v>0</v>
      </c>
      <c r="V124" s="25">
        <f t="shared" si="3"/>
        <v>0</v>
      </c>
      <c r="W124" s="25" t="e">
        <f>+VLOOKUP(Q124,Breakup!C:D,2,FALSE)</f>
        <v>#N/A</v>
      </c>
    </row>
    <row r="125" spans="3:23" ht="15" customHeight="1" x14ac:dyDescent="0.25">
      <c r="C125" s="263"/>
      <c r="D125" s="263"/>
      <c r="E125" s="263"/>
      <c r="F125" s="263"/>
      <c r="G125" s="263"/>
      <c r="H125" s="263"/>
      <c r="I125" s="263"/>
      <c r="J125" s="263"/>
      <c r="K125" s="263"/>
      <c r="L125" s="263"/>
      <c r="M125" s="264" t="s">
        <v>114</v>
      </c>
      <c r="N125" s="264" t="s">
        <v>99</v>
      </c>
      <c r="O125" s="264" t="s">
        <v>367</v>
      </c>
      <c r="P125" s="264" t="s">
        <v>252</v>
      </c>
      <c r="Q125" s="264" t="s">
        <v>368</v>
      </c>
      <c r="R125" s="268">
        <v>588.74</v>
      </c>
      <c r="S125" s="268">
        <v>0</v>
      </c>
      <c r="T125" s="268">
        <v>588.74</v>
      </c>
      <c r="U125" s="268">
        <v>9241.06</v>
      </c>
      <c r="V125" s="25">
        <f t="shared" si="3"/>
        <v>588.74</v>
      </c>
      <c r="W125" s="25" t="e">
        <f>+VLOOKUP(Q125,Breakup!C:D,2,FALSE)</f>
        <v>#N/A</v>
      </c>
    </row>
    <row r="126" spans="3:23" ht="15" customHeight="1" x14ac:dyDescent="0.25">
      <c r="C126" s="263"/>
      <c r="D126" s="263"/>
      <c r="E126" s="263"/>
      <c r="F126" s="263"/>
      <c r="G126" s="263"/>
      <c r="H126" s="263"/>
      <c r="I126" s="263"/>
      <c r="J126" s="263"/>
      <c r="K126" s="263"/>
      <c r="L126" s="263"/>
      <c r="M126" s="264" t="s">
        <v>114</v>
      </c>
      <c r="N126" s="264" t="s">
        <v>99</v>
      </c>
      <c r="O126" s="264" t="s">
        <v>369</v>
      </c>
      <c r="P126" s="264" t="s">
        <v>308</v>
      </c>
      <c r="Q126" s="264" t="s">
        <v>370</v>
      </c>
      <c r="R126" s="268">
        <v>22183.35</v>
      </c>
      <c r="S126" s="268">
        <v>0</v>
      </c>
      <c r="T126" s="268">
        <v>22183.35</v>
      </c>
      <c r="U126" s="268">
        <v>69803.44</v>
      </c>
      <c r="V126" s="25">
        <f t="shared" si="3"/>
        <v>22183.35</v>
      </c>
      <c r="W126" s="25" t="e">
        <f>+VLOOKUP(Q126,Breakup!C:D,2,FALSE)</f>
        <v>#N/A</v>
      </c>
    </row>
    <row r="127" spans="3:23" ht="15" customHeight="1" x14ac:dyDescent="0.25">
      <c r="C127" s="263"/>
      <c r="D127" s="263"/>
      <c r="E127" s="263"/>
      <c r="F127" s="263"/>
      <c r="G127" s="263"/>
      <c r="H127" s="263"/>
      <c r="I127" s="263"/>
      <c r="J127" s="263"/>
      <c r="K127" s="263"/>
      <c r="L127" s="263"/>
      <c r="M127" s="264" t="s">
        <v>114</v>
      </c>
      <c r="N127" s="264" t="s">
        <v>99</v>
      </c>
      <c r="O127" s="264" t="s">
        <v>369</v>
      </c>
      <c r="P127" s="264" t="s">
        <v>275</v>
      </c>
      <c r="Q127" s="264" t="s">
        <v>371</v>
      </c>
      <c r="R127" s="268">
        <v>164.53</v>
      </c>
      <c r="S127" s="268">
        <v>0</v>
      </c>
      <c r="T127" s="268">
        <v>164.53</v>
      </c>
      <c r="U127" s="268">
        <v>164.53</v>
      </c>
      <c r="V127" s="25">
        <f t="shared" si="3"/>
        <v>164.53</v>
      </c>
      <c r="W127" s="25" t="e">
        <f>+VLOOKUP(Q127,Breakup!C:D,2,FALSE)</f>
        <v>#N/A</v>
      </c>
    </row>
    <row r="128" spans="3:23" ht="15" customHeight="1" x14ac:dyDescent="0.25">
      <c r="C128" s="263"/>
      <c r="D128" s="263"/>
      <c r="E128" s="263"/>
      <c r="F128" s="263"/>
      <c r="G128" s="263"/>
      <c r="H128" s="263"/>
      <c r="I128" s="263"/>
      <c r="J128" s="263"/>
      <c r="K128" s="263"/>
      <c r="L128" s="263"/>
      <c r="M128" s="264" t="s">
        <v>114</v>
      </c>
      <c r="N128" s="264" t="s">
        <v>99</v>
      </c>
      <c r="O128" s="264" t="s">
        <v>369</v>
      </c>
      <c r="P128" s="264" t="s">
        <v>279</v>
      </c>
      <c r="Q128" s="264" t="s">
        <v>372</v>
      </c>
      <c r="R128" s="268">
        <v>11342</v>
      </c>
      <c r="S128" s="268">
        <v>0</v>
      </c>
      <c r="T128" s="268">
        <v>11342</v>
      </c>
      <c r="U128" s="268">
        <v>17447.96</v>
      </c>
      <c r="V128" s="25">
        <f t="shared" si="3"/>
        <v>11342</v>
      </c>
      <c r="W128" s="25" t="e">
        <f>+VLOOKUP(Q128,Breakup!C:D,2,FALSE)</f>
        <v>#N/A</v>
      </c>
    </row>
    <row r="129" spans="3:23" ht="15" customHeight="1" x14ac:dyDescent="0.25">
      <c r="C129" s="263"/>
      <c r="D129" s="263"/>
      <c r="E129" s="263"/>
      <c r="F129" s="263"/>
      <c r="G129" s="263"/>
      <c r="H129" s="263"/>
      <c r="I129" s="263"/>
      <c r="J129" s="263"/>
      <c r="K129" s="263"/>
      <c r="L129" s="263"/>
      <c r="M129" s="264" t="s">
        <v>114</v>
      </c>
      <c r="N129" s="264" t="s">
        <v>99</v>
      </c>
      <c r="O129" s="264" t="s">
        <v>373</v>
      </c>
      <c r="P129" s="264" t="s">
        <v>275</v>
      </c>
      <c r="Q129" s="264" t="s">
        <v>374</v>
      </c>
      <c r="R129" s="268">
        <v>11249.37</v>
      </c>
      <c r="S129" s="268">
        <v>0</v>
      </c>
      <c r="T129" s="268">
        <v>11249.37</v>
      </c>
      <c r="U129" s="268">
        <v>16241.56</v>
      </c>
      <c r="V129" s="25">
        <f t="shared" si="3"/>
        <v>11249.37</v>
      </c>
      <c r="W129" s="25" t="e">
        <f>+VLOOKUP(Q129,Breakup!C:D,2,FALSE)</f>
        <v>#N/A</v>
      </c>
    </row>
    <row r="130" spans="3:23" ht="15" customHeight="1" x14ac:dyDescent="0.25">
      <c r="C130" s="263"/>
      <c r="D130" s="263"/>
      <c r="E130" s="263"/>
      <c r="F130" s="263"/>
      <c r="G130" s="263"/>
      <c r="H130" s="263"/>
      <c r="I130" s="263"/>
      <c r="J130" s="263"/>
      <c r="K130" s="263"/>
      <c r="L130" s="263"/>
      <c r="M130" s="264" t="s">
        <v>114</v>
      </c>
      <c r="N130" s="264" t="s">
        <v>99</v>
      </c>
      <c r="O130" s="264" t="s">
        <v>469</v>
      </c>
      <c r="P130" s="264" t="s">
        <v>140</v>
      </c>
      <c r="Q130" s="264" t="s">
        <v>470</v>
      </c>
      <c r="R130" s="268">
        <v>176154.77</v>
      </c>
      <c r="S130" s="268">
        <v>0</v>
      </c>
      <c r="T130" s="268">
        <v>176154.77</v>
      </c>
      <c r="U130" s="268">
        <v>176154.77</v>
      </c>
      <c r="V130" s="25">
        <f t="shared" si="3"/>
        <v>176154.77</v>
      </c>
      <c r="W130" s="25" t="e">
        <f>+VLOOKUP(Q130,Breakup!C:D,2,FALSE)</f>
        <v>#N/A</v>
      </c>
    </row>
    <row r="131" spans="3:23" ht="15" customHeight="1" x14ac:dyDescent="0.25">
      <c r="C131" s="263"/>
      <c r="D131" s="263"/>
      <c r="E131" s="263"/>
      <c r="F131" s="263"/>
      <c r="G131" s="263"/>
      <c r="H131" s="263"/>
      <c r="I131" s="263"/>
      <c r="J131" s="263"/>
      <c r="K131" s="263"/>
      <c r="L131" s="263"/>
      <c r="M131" s="264" t="s">
        <v>114</v>
      </c>
      <c r="N131" s="264" t="s">
        <v>99</v>
      </c>
      <c r="O131" s="264" t="s">
        <v>375</v>
      </c>
      <c r="P131" s="264" t="s">
        <v>222</v>
      </c>
      <c r="Q131" s="264" t="s">
        <v>376</v>
      </c>
      <c r="R131" s="268">
        <v>335272.34999999998</v>
      </c>
      <c r="S131" s="268">
        <v>0</v>
      </c>
      <c r="T131" s="268">
        <v>335272.34999999998</v>
      </c>
      <c r="U131" s="268">
        <v>407994.85</v>
      </c>
      <c r="V131" s="25">
        <f t="shared" si="3"/>
        <v>335272.34999999998</v>
      </c>
      <c r="W131" s="25" t="e">
        <f>+VLOOKUP(Q131,Breakup!C:D,2,FALSE)</f>
        <v>#N/A</v>
      </c>
    </row>
    <row r="132" spans="3:23" ht="15" customHeight="1" x14ac:dyDescent="0.25">
      <c r="C132" s="263"/>
      <c r="D132" s="263"/>
      <c r="E132" s="263"/>
      <c r="F132" s="263"/>
      <c r="G132" s="263"/>
      <c r="H132" s="263"/>
      <c r="I132" s="263"/>
      <c r="J132" s="263"/>
      <c r="K132" s="263"/>
      <c r="L132" s="263"/>
      <c r="M132" s="264" t="s">
        <v>114</v>
      </c>
      <c r="N132" s="264" t="s">
        <v>99</v>
      </c>
      <c r="O132" s="264" t="s">
        <v>377</v>
      </c>
      <c r="P132" s="264" t="s">
        <v>222</v>
      </c>
      <c r="Q132" s="264" t="s">
        <v>378</v>
      </c>
      <c r="R132" s="268">
        <v>31798.13</v>
      </c>
      <c r="S132" s="268">
        <v>0</v>
      </c>
      <c r="T132" s="268">
        <v>31798.13</v>
      </c>
      <c r="U132" s="268">
        <v>39139.129999999997</v>
      </c>
      <c r="V132" s="25">
        <f t="shared" si="3"/>
        <v>31798.13</v>
      </c>
      <c r="W132" s="25" t="e">
        <f>+VLOOKUP(Q132,Breakup!C:D,2,FALSE)</f>
        <v>#N/A</v>
      </c>
    </row>
    <row r="133" spans="3:23" ht="15" customHeight="1" x14ac:dyDescent="0.25">
      <c r="C133" s="263"/>
      <c r="D133" s="263"/>
      <c r="E133" s="263"/>
      <c r="F133" s="263"/>
      <c r="G133" s="263"/>
      <c r="H133" s="263"/>
      <c r="I133" s="263"/>
      <c r="J133" s="263"/>
      <c r="K133" s="263"/>
      <c r="L133" s="263"/>
      <c r="M133" s="264" t="s">
        <v>114</v>
      </c>
      <c r="N133" s="264" t="s">
        <v>99</v>
      </c>
      <c r="O133" s="264" t="s">
        <v>379</v>
      </c>
      <c r="P133" s="264" t="s">
        <v>222</v>
      </c>
      <c r="Q133" s="264" t="s">
        <v>380</v>
      </c>
      <c r="R133" s="268">
        <v>1185566.25</v>
      </c>
      <c r="S133" s="268">
        <v>0</v>
      </c>
      <c r="T133" s="268">
        <v>1185566.25</v>
      </c>
      <c r="U133" s="268">
        <v>1185566.25</v>
      </c>
      <c r="V133" s="25">
        <f t="shared" si="3"/>
        <v>1185566.25</v>
      </c>
      <c r="W133" s="25" t="e">
        <f>+VLOOKUP(Q133,Breakup!C:D,2,FALSE)</f>
        <v>#N/A</v>
      </c>
    </row>
    <row r="134" spans="3:23" ht="15" customHeight="1" x14ac:dyDescent="0.25">
      <c r="C134" s="263"/>
      <c r="D134" s="263"/>
      <c r="E134" s="263"/>
      <c r="F134" s="263"/>
      <c r="G134" s="263"/>
      <c r="H134" s="263"/>
      <c r="I134" s="263"/>
      <c r="J134" s="263"/>
      <c r="K134" s="263"/>
      <c r="L134" s="263"/>
      <c r="M134" s="264" t="s">
        <v>114</v>
      </c>
      <c r="N134" s="264" t="s">
        <v>99</v>
      </c>
      <c r="O134" s="264" t="s">
        <v>381</v>
      </c>
      <c r="P134" s="264" t="s">
        <v>275</v>
      </c>
      <c r="Q134" s="264" t="s">
        <v>382</v>
      </c>
      <c r="R134" s="268">
        <v>576652.05000000005</v>
      </c>
      <c r="S134" s="268">
        <v>0</v>
      </c>
      <c r="T134" s="268">
        <v>576652.05000000005</v>
      </c>
      <c r="U134" s="268">
        <v>680189.17</v>
      </c>
      <c r="V134" s="25">
        <f t="shared" si="3"/>
        <v>576652.05000000005</v>
      </c>
      <c r="W134" s="25" t="e">
        <f>+VLOOKUP(Q134,Breakup!C:D,2,FALSE)</f>
        <v>#N/A</v>
      </c>
    </row>
    <row r="135" spans="3:23" ht="15" customHeight="1" x14ac:dyDescent="0.25">
      <c r="C135" s="263"/>
      <c r="D135" s="263"/>
      <c r="E135" s="263"/>
      <c r="F135" s="263"/>
      <c r="G135" s="263"/>
      <c r="H135" s="263"/>
      <c r="I135" s="263"/>
      <c r="J135" s="263"/>
      <c r="K135" s="263"/>
      <c r="L135" s="263"/>
      <c r="M135" s="264" t="s">
        <v>114</v>
      </c>
      <c r="N135" s="264" t="s">
        <v>99</v>
      </c>
      <c r="O135" s="264" t="s">
        <v>381</v>
      </c>
      <c r="P135" s="264" t="s">
        <v>222</v>
      </c>
      <c r="Q135" s="264" t="s">
        <v>383</v>
      </c>
      <c r="R135" s="268">
        <v>489238.53</v>
      </c>
      <c r="S135" s="268">
        <v>0</v>
      </c>
      <c r="T135" s="268">
        <v>489238.53</v>
      </c>
      <c r="U135" s="268">
        <v>616776.82999999996</v>
      </c>
      <c r="V135" s="25">
        <f t="shared" si="3"/>
        <v>489238.53</v>
      </c>
      <c r="W135" s="25" t="e">
        <f>+VLOOKUP(Q135,Breakup!C:D,2,FALSE)</f>
        <v>#N/A</v>
      </c>
    </row>
    <row r="136" spans="3:23" ht="15" customHeight="1" x14ac:dyDescent="0.25">
      <c r="C136" s="263"/>
      <c r="D136" s="263"/>
      <c r="E136" s="263"/>
      <c r="F136" s="263"/>
      <c r="G136" s="263"/>
      <c r="H136" s="263"/>
      <c r="I136" s="263"/>
      <c r="J136" s="263"/>
      <c r="K136" s="263"/>
      <c r="L136" s="263"/>
      <c r="M136" s="264" t="s">
        <v>114</v>
      </c>
      <c r="N136" s="264" t="s">
        <v>99</v>
      </c>
      <c r="O136" s="264" t="s">
        <v>384</v>
      </c>
      <c r="P136" s="264" t="s">
        <v>279</v>
      </c>
      <c r="Q136" s="264" t="s">
        <v>385</v>
      </c>
      <c r="R136" s="268">
        <v>110869.2</v>
      </c>
      <c r="S136" s="268">
        <v>0</v>
      </c>
      <c r="T136" s="268">
        <v>110869.2</v>
      </c>
      <c r="U136" s="268">
        <v>139683.70000000001</v>
      </c>
      <c r="V136" s="25">
        <f t="shared" ref="V136:V167" si="4">+IF(P136="LW",T136,R136)+S136</f>
        <v>110869.2</v>
      </c>
      <c r="W136" s="25" t="e">
        <f>+VLOOKUP(Q136,Breakup!C:D,2,FALSE)</f>
        <v>#N/A</v>
      </c>
    </row>
    <row r="137" spans="3:23" ht="15" customHeight="1" x14ac:dyDescent="0.25">
      <c r="C137" s="263"/>
      <c r="D137" s="263"/>
      <c r="E137" s="263"/>
      <c r="F137" s="263"/>
      <c r="G137" s="263"/>
      <c r="H137" s="263"/>
      <c r="I137" s="263"/>
      <c r="J137" s="263"/>
      <c r="K137" s="263"/>
      <c r="L137" s="263"/>
      <c r="M137" s="264" t="s">
        <v>114</v>
      </c>
      <c r="N137" s="264" t="s">
        <v>99</v>
      </c>
      <c r="O137" s="264" t="s">
        <v>386</v>
      </c>
      <c r="P137" s="264" t="s">
        <v>275</v>
      </c>
      <c r="Q137" s="264" t="s">
        <v>387</v>
      </c>
      <c r="R137" s="268">
        <v>0</v>
      </c>
      <c r="S137" s="268">
        <v>0</v>
      </c>
      <c r="T137" s="268">
        <v>0</v>
      </c>
      <c r="U137" s="268">
        <v>20856</v>
      </c>
      <c r="V137" s="25">
        <f t="shared" si="4"/>
        <v>0</v>
      </c>
      <c r="W137" s="25" t="e">
        <f>+VLOOKUP(Q137,Breakup!C:D,2,FALSE)</f>
        <v>#N/A</v>
      </c>
    </row>
    <row r="138" spans="3:23" ht="15" customHeight="1" x14ac:dyDescent="0.25">
      <c r="C138" s="263"/>
      <c r="D138" s="263"/>
      <c r="E138" s="263"/>
      <c r="F138" s="263"/>
      <c r="G138" s="263"/>
      <c r="H138" s="263"/>
      <c r="I138" s="263"/>
      <c r="J138" s="263"/>
      <c r="K138" s="263"/>
      <c r="L138" s="263"/>
      <c r="M138" s="264" t="s">
        <v>114</v>
      </c>
      <c r="N138" s="264" t="s">
        <v>99</v>
      </c>
      <c r="O138" s="264" t="s">
        <v>388</v>
      </c>
      <c r="P138" s="264" t="s">
        <v>222</v>
      </c>
      <c r="Q138" s="264" t="s">
        <v>389</v>
      </c>
      <c r="R138" s="268">
        <v>0</v>
      </c>
      <c r="S138" s="268">
        <v>0</v>
      </c>
      <c r="T138" s="268">
        <v>0</v>
      </c>
      <c r="U138" s="268">
        <v>0</v>
      </c>
      <c r="V138" s="25">
        <f t="shared" si="4"/>
        <v>0</v>
      </c>
      <c r="W138" s="25" t="e">
        <f>+VLOOKUP(Q138,Breakup!C:D,2,FALSE)</f>
        <v>#N/A</v>
      </c>
    </row>
    <row r="139" spans="3:23" ht="15" customHeight="1" x14ac:dyDescent="0.25">
      <c r="C139" s="263"/>
      <c r="D139" s="263"/>
      <c r="E139" s="263"/>
      <c r="F139" s="263"/>
      <c r="G139" s="263"/>
      <c r="H139" s="263"/>
      <c r="I139" s="263"/>
      <c r="J139" s="263"/>
      <c r="K139" s="263"/>
      <c r="L139" s="263"/>
      <c r="M139" s="264" t="s">
        <v>114</v>
      </c>
      <c r="N139" s="264" t="s">
        <v>99</v>
      </c>
      <c r="O139" s="264" t="s">
        <v>390</v>
      </c>
      <c r="P139" s="264" t="s">
        <v>275</v>
      </c>
      <c r="Q139" s="264" t="s">
        <v>461</v>
      </c>
      <c r="R139" s="268">
        <v>1094442.31</v>
      </c>
      <c r="S139" s="268">
        <v>0</v>
      </c>
      <c r="T139" s="268">
        <v>1094442.31</v>
      </c>
      <c r="U139" s="268">
        <v>1131791.83</v>
      </c>
      <c r="V139" s="25">
        <f t="shared" si="4"/>
        <v>1094442.31</v>
      </c>
      <c r="W139" s="25" t="e">
        <f>+VLOOKUP(Q139,Breakup!C:D,2,FALSE)</f>
        <v>#N/A</v>
      </c>
    </row>
    <row r="140" spans="3:23" ht="15" customHeight="1" x14ac:dyDescent="0.25">
      <c r="C140" s="263"/>
      <c r="D140" s="263"/>
      <c r="E140" s="263"/>
      <c r="F140" s="263"/>
      <c r="G140" s="263"/>
      <c r="H140" s="263"/>
      <c r="I140" s="263"/>
      <c r="J140" s="263"/>
      <c r="K140" s="263"/>
      <c r="L140" s="263"/>
      <c r="M140" s="264" t="s">
        <v>114</v>
      </c>
      <c r="N140" s="264" t="s">
        <v>99</v>
      </c>
      <c r="O140" s="264" t="s">
        <v>390</v>
      </c>
      <c r="P140" s="264" t="s">
        <v>222</v>
      </c>
      <c r="Q140" s="264" t="s">
        <v>391</v>
      </c>
      <c r="R140" s="268">
        <v>251206.84</v>
      </c>
      <c r="S140" s="268">
        <v>0</v>
      </c>
      <c r="T140" s="268">
        <v>251206.84</v>
      </c>
      <c r="U140" s="268">
        <v>270299.71000000002</v>
      </c>
      <c r="V140" s="25">
        <f t="shared" si="4"/>
        <v>251206.84</v>
      </c>
      <c r="W140" s="25" t="e">
        <f>+VLOOKUP(Q140,Breakup!C:D,2,FALSE)</f>
        <v>#N/A</v>
      </c>
    </row>
    <row r="141" spans="3:23" ht="15" customHeight="1" x14ac:dyDescent="0.25">
      <c r="C141" s="263"/>
      <c r="D141" s="263"/>
      <c r="E141" s="263"/>
      <c r="F141" s="263"/>
      <c r="G141" s="263"/>
      <c r="H141" s="263"/>
      <c r="I141" s="263"/>
      <c r="J141" s="263"/>
      <c r="K141" s="263"/>
      <c r="L141" s="263"/>
      <c r="M141" s="264" t="s">
        <v>114</v>
      </c>
      <c r="N141" s="264" t="s">
        <v>99</v>
      </c>
      <c r="O141" s="264" t="s">
        <v>392</v>
      </c>
      <c r="P141" s="264" t="s">
        <v>222</v>
      </c>
      <c r="Q141" s="264" t="s">
        <v>393</v>
      </c>
      <c r="R141" s="268">
        <v>1268247.1000000001</v>
      </c>
      <c r="S141" s="268">
        <v>0</v>
      </c>
      <c r="T141" s="268">
        <v>1268247.1000000001</v>
      </c>
      <c r="U141" s="268">
        <v>1344003.6</v>
      </c>
      <c r="V141" s="25">
        <f t="shared" si="4"/>
        <v>1268247.1000000001</v>
      </c>
      <c r="W141" s="25" t="e">
        <f>+VLOOKUP(Q141,Breakup!C:D,2,FALSE)</f>
        <v>#N/A</v>
      </c>
    </row>
    <row r="142" spans="3:23" ht="15" customHeight="1" x14ac:dyDescent="0.25">
      <c r="C142" s="263"/>
      <c r="D142" s="263"/>
      <c r="E142" s="263"/>
      <c r="F142" s="263"/>
      <c r="G142" s="263"/>
      <c r="H142" s="263"/>
      <c r="I142" s="263"/>
      <c r="J142" s="263"/>
      <c r="K142" s="263"/>
      <c r="L142" s="263"/>
      <c r="M142" s="264" t="s">
        <v>114</v>
      </c>
      <c r="N142" s="264" t="s">
        <v>99</v>
      </c>
      <c r="O142" s="264" t="s">
        <v>472</v>
      </c>
      <c r="P142" s="264" t="s">
        <v>275</v>
      </c>
      <c r="Q142" s="264" t="s">
        <v>473</v>
      </c>
      <c r="R142" s="268">
        <v>42713.22</v>
      </c>
      <c r="S142" s="268">
        <v>0</v>
      </c>
      <c r="T142" s="268">
        <v>42713.22</v>
      </c>
      <c r="U142" s="268">
        <v>69103.009999999995</v>
      </c>
      <c r="V142" s="25">
        <f t="shared" si="4"/>
        <v>42713.22</v>
      </c>
      <c r="W142" s="25" t="e">
        <f>+VLOOKUP(Q142,Breakup!C:D,2,FALSE)</f>
        <v>#N/A</v>
      </c>
    </row>
    <row r="143" spans="3:23" ht="15" customHeight="1" x14ac:dyDescent="0.25">
      <c r="C143" s="263"/>
      <c r="D143" s="263"/>
      <c r="E143" s="263"/>
      <c r="F143" s="263"/>
      <c r="G143" s="263"/>
      <c r="H143" s="263"/>
      <c r="I143" s="263"/>
      <c r="J143" s="263"/>
      <c r="K143" s="263"/>
      <c r="L143" s="263"/>
      <c r="M143" s="264" t="s">
        <v>114</v>
      </c>
      <c r="N143" s="264" t="s">
        <v>99</v>
      </c>
      <c r="O143" s="264" t="s">
        <v>472</v>
      </c>
      <c r="P143" s="264" t="s">
        <v>222</v>
      </c>
      <c r="Q143" s="264" t="s">
        <v>473</v>
      </c>
      <c r="R143" s="268">
        <v>41386.699999999997</v>
      </c>
      <c r="S143" s="268">
        <v>0</v>
      </c>
      <c r="T143" s="268">
        <v>41386.699999999997</v>
      </c>
      <c r="U143" s="268">
        <v>43886.7</v>
      </c>
      <c r="V143" s="25">
        <f t="shared" si="4"/>
        <v>41386.699999999997</v>
      </c>
      <c r="W143" s="25" t="e">
        <f>+VLOOKUP(Q143,Breakup!C:D,2,FALSE)</f>
        <v>#N/A</v>
      </c>
    </row>
    <row r="144" spans="3:23" ht="15" customHeight="1" x14ac:dyDescent="0.25">
      <c r="C144" s="263"/>
      <c r="D144" s="263"/>
      <c r="E144" s="263"/>
      <c r="F144" s="263"/>
      <c r="G144" s="263"/>
      <c r="H144" s="263"/>
      <c r="I144" s="263"/>
      <c r="J144" s="263"/>
      <c r="K144" s="263"/>
      <c r="L144" s="263"/>
      <c r="M144" s="264" t="s">
        <v>114</v>
      </c>
      <c r="N144" s="264" t="s">
        <v>99</v>
      </c>
      <c r="O144" s="264" t="s">
        <v>394</v>
      </c>
      <c r="P144" s="264" t="s">
        <v>222</v>
      </c>
      <c r="Q144" s="264" t="s">
        <v>395</v>
      </c>
      <c r="R144" s="268">
        <v>1173300.05</v>
      </c>
      <c r="S144" s="268">
        <v>0</v>
      </c>
      <c r="T144" s="268">
        <v>1173300.05</v>
      </c>
      <c r="U144" s="268">
        <v>1477524.4</v>
      </c>
      <c r="V144" s="25">
        <f t="shared" si="4"/>
        <v>1173300.05</v>
      </c>
      <c r="W144" s="25" t="e">
        <f>+VLOOKUP(Q144,Breakup!C:D,2,FALSE)</f>
        <v>#N/A</v>
      </c>
    </row>
    <row r="145" spans="3:23" ht="15" customHeight="1" x14ac:dyDescent="0.25">
      <c r="C145" s="263"/>
      <c r="D145" s="263"/>
      <c r="E145" s="263"/>
      <c r="F145" s="263"/>
      <c r="G145" s="263"/>
      <c r="H145" s="263"/>
      <c r="I145" s="263"/>
      <c r="J145" s="263"/>
      <c r="K145" s="263"/>
      <c r="L145" s="263"/>
      <c r="M145" s="264" t="s">
        <v>114</v>
      </c>
      <c r="N145" s="264" t="s">
        <v>99</v>
      </c>
      <c r="O145" s="264" t="s">
        <v>396</v>
      </c>
      <c r="P145" s="264" t="s">
        <v>222</v>
      </c>
      <c r="Q145" s="264" t="s">
        <v>397</v>
      </c>
      <c r="R145" s="268">
        <v>9050</v>
      </c>
      <c r="S145" s="268">
        <v>0</v>
      </c>
      <c r="T145" s="268">
        <v>9050</v>
      </c>
      <c r="U145" s="268">
        <v>113348</v>
      </c>
      <c r="V145" s="25">
        <f t="shared" si="4"/>
        <v>9050</v>
      </c>
      <c r="W145" s="25" t="e">
        <f>+VLOOKUP(Q145,Breakup!C:D,2,FALSE)</f>
        <v>#N/A</v>
      </c>
    </row>
    <row r="146" spans="3:23" ht="15" customHeight="1" x14ac:dyDescent="0.25">
      <c r="C146" s="263"/>
      <c r="D146" s="263"/>
      <c r="E146" s="263"/>
      <c r="F146" s="263"/>
      <c r="G146" s="263"/>
      <c r="H146" s="263"/>
      <c r="I146" s="263"/>
      <c r="J146" s="263"/>
      <c r="K146" s="263"/>
      <c r="L146" s="263"/>
      <c r="M146" s="264" t="s">
        <v>114</v>
      </c>
      <c r="N146" s="264" t="s">
        <v>99</v>
      </c>
      <c r="O146" s="264" t="s">
        <v>398</v>
      </c>
      <c r="P146" s="264" t="s">
        <v>222</v>
      </c>
      <c r="Q146" s="264" t="s">
        <v>399</v>
      </c>
      <c r="R146" s="268">
        <v>0</v>
      </c>
      <c r="S146" s="268">
        <v>0</v>
      </c>
      <c r="T146" s="268">
        <v>0</v>
      </c>
      <c r="U146" s="268">
        <v>638270.77</v>
      </c>
      <c r="V146" s="25">
        <f t="shared" si="4"/>
        <v>0</v>
      </c>
      <c r="W146" s="25" t="e">
        <f>+VLOOKUP(Q146,Breakup!C:D,2,FALSE)</f>
        <v>#N/A</v>
      </c>
    </row>
    <row r="147" spans="3:23" ht="15" customHeight="1" x14ac:dyDescent="0.25">
      <c r="C147" s="263"/>
      <c r="D147" s="263"/>
      <c r="E147" s="263"/>
      <c r="F147" s="263"/>
      <c r="G147" s="263"/>
      <c r="H147" s="263"/>
      <c r="I147" s="263"/>
      <c r="J147" s="263"/>
      <c r="K147" s="263"/>
      <c r="L147" s="263"/>
      <c r="M147" s="264" t="s">
        <v>114</v>
      </c>
      <c r="N147" s="264" t="s">
        <v>99</v>
      </c>
      <c r="O147" s="264" t="s">
        <v>400</v>
      </c>
      <c r="P147" s="264" t="s">
        <v>222</v>
      </c>
      <c r="Q147" s="264" t="s">
        <v>401</v>
      </c>
      <c r="R147" s="268">
        <v>0</v>
      </c>
      <c r="S147" s="268">
        <v>0</v>
      </c>
      <c r="T147" s="268">
        <v>0</v>
      </c>
      <c r="U147" s="268">
        <v>20500</v>
      </c>
      <c r="V147" s="25">
        <f t="shared" si="4"/>
        <v>0</v>
      </c>
      <c r="W147" s="25" t="e">
        <f>+VLOOKUP(Q147,Breakup!C:D,2,FALSE)</f>
        <v>#N/A</v>
      </c>
    </row>
    <row r="148" spans="3:23" ht="15" customHeight="1" x14ac:dyDescent="0.25"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4" t="s">
        <v>114</v>
      </c>
      <c r="N148" s="264" t="s">
        <v>99</v>
      </c>
      <c r="O148" s="264" t="s">
        <v>402</v>
      </c>
      <c r="P148" s="264" t="s">
        <v>222</v>
      </c>
      <c r="Q148" s="264" t="s">
        <v>403</v>
      </c>
      <c r="R148" s="268">
        <v>0</v>
      </c>
      <c r="S148" s="268">
        <v>0</v>
      </c>
      <c r="T148" s="268">
        <v>0</v>
      </c>
      <c r="U148" s="268">
        <v>290282.59999999998</v>
      </c>
      <c r="V148" s="25">
        <f t="shared" si="4"/>
        <v>0</v>
      </c>
      <c r="W148" s="25" t="e">
        <f>+VLOOKUP(Q148,Breakup!C:D,2,FALSE)</f>
        <v>#N/A</v>
      </c>
    </row>
    <row r="149" spans="3:23" ht="15" customHeight="1" x14ac:dyDescent="0.25"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4" t="s">
        <v>114</v>
      </c>
      <c r="N149" s="264" t="s">
        <v>99</v>
      </c>
      <c r="O149" s="264" t="s">
        <v>404</v>
      </c>
      <c r="P149" s="264" t="s">
        <v>222</v>
      </c>
      <c r="Q149" s="264" t="s">
        <v>405</v>
      </c>
      <c r="R149" s="268">
        <v>0</v>
      </c>
      <c r="S149" s="268">
        <v>0</v>
      </c>
      <c r="T149" s="268">
        <v>0</v>
      </c>
      <c r="U149" s="268">
        <v>47480</v>
      </c>
      <c r="V149" s="25">
        <f t="shared" si="4"/>
        <v>0</v>
      </c>
      <c r="W149" s="25" t="e">
        <f>+VLOOKUP(Q149,Breakup!C:D,2,FALSE)</f>
        <v>#N/A</v>
      </c>
    </row>
    <row r="150" spans="3:23" ht="15" customHeight="1" x14ac:dyDescent="0.25"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4" t="s">
        <v>114</v>
      </c>
      <c r="N150" s="264" t="s">
        <v>99</v>
      </c>
      <c r="O150" s="264" t="s">
        <v>406</v>
      </c>
      <c r="P150" s="264" t="s">
        <v>222</v>
      </c>
      <c r="Q150" s="264" t="s">
        <v>407</v>
      </c>
      <c r="R150" s="268">
        <v>54817.5</v>
      </c>
      <c r="S150" s="268">
        <v>0</v>
      </c>
      <c r="T150" s="268">
        <v>54817.5</v>
      </c>
      <c r="U150" s="268">
        <v>288180</v>
      </c>
      <c r="V150" s="25">
        <f t="shared" si="4"/>
        <v>54817.5</v>
      </c>
      <c r="W150" s="25" t="e">
        <f>+VLOOKUP(Q150,Breakup!C:D,2,FALSE)</f>
        <v>#N/A</v>
      </c>
    </row>
    <row r="151" spans="3:23" ht="15" customHeight="1" x14ac:dyDescent="0.25"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4" t="s">
        <v>114</v>
      </c>
      <c r="N151" s="264" t="s">
        <v>99</v>
      </c>
      <c r="O151" s="264" t="s">
        <v>408</v>
      </c>
      <c r="P151" s="264" t="s">
        <v>289</v>
      </c>
      <c r="Q151" s="264" t="s">
        <v>464</v>
      </c>
      <c r="R151" s="268">
        <v>40382.639999999999</v>
      </c>
      <c r="S151" s="268">
        <v>0</v>
      </c>
      <c r="T151" s="268">
        <v>40382.639999999999</v>
      </c>
      <c r="U151" s="268">
        <v>38037.1</v>
      </c>
      <c r="V151" s="25">
        <f t="shared" si="4"/>
        <v>40382.639999999999</v>
      </c>
      <c r="W151" s="25" t="e">
        <f>+VLOOKUP(Q151,Breakup!C:D,2,FALSE)</f>
        <v>#N/A</v>
      </c>
    </row>
    <row r="152" spans="3:23" ht="15" customHeight="1" x14ac:dyDescent="0.25"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4" t="s">
        <v>114</v>
      </c>
      <c r="N152" s="264" t="s">
        <v>99</v>
      </c>
      <c r="O152" s="264" t="s">
        <v>408</v>
      </c>
      <c r="P152" s="264" t="s">
        <v>222</v>
      </c>
      <c r="Q152" s="264" t="s">
        <v>409</v>
      </c>
      <c r="R152" s="268">
        <v>11311.83</v>
      </c>
      <c r="S152" s="268">
        <v>0</v>
      </c>
      <c r="T152" s="268">
        <v>11311.83</v>
      </c>
      <c r="U152" s="268">
        <v>281980.89</v>
      </c>
      <c r="V152" s="25">
        <f t="shared" si="4"/>
        <v>11311.83</v>
      </c>
      <c r="W152" s="25" t="e">
        <f>+VLOOKUP(Q152,Breakup!C:D,2,FALSE)</f>
        <v>#N/A</v>
      </c>
    </row>
    <row r="153" spans="3:23" ht="15" customHeight="1" x14ac:dyDescent="0.25"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4" t="s">
        <v>114</v>
      </c>
      <c r="N153" s="264" t="s">
        <v>99</v>
      </c>
      <c r="O153" s="264" t="s">
        <v>410</v>
      </c>
      <c r="P153" s="264" t="s">
        <v>222</v>
      </c>
      <c r="Q153" s="264" t="s">
        <v>411</v>
      </c>
      <c r="R153" s="268">
        <v>177447.67999999999</v>
      </c>
      <c r="S153" s="268">
        <v>0</v>
      </c>
      <c r="T153" s="268">
        <v>177447.67999999999</v>
      </c>
      <c r="U153" s="268">
        <v>209065</v>
      </c>
      <c r="V153" s="25">
        <f t="shared" si="4"/>
        <v>177447.67999999999</v>
      </c>
      <c r="W153" s="25" t="e">
        <f>+VLOOKUP(Q153,Breakup!C:D,2,FALSE)</f>
        <v>#N/A</v>
      </c>
    </row>
    <row r="154" spans="3:23" ht="15" customHeight="1" x14ac:dyDescent="0.25"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4" t="s">
        <v>114</v>
      </c>
      <c r="N154" s="264" t="s">
        <v>99</v>
      </c>
      <c r="O154" s="264" t="s">
        <v>412</v>
      </c>
      <c r="P154" s="264" t="s">
        <v>222</v>
      </c>
      <c r="Q154" s="264" t="s">
        <v>413</v>
      </c>
      <c r="R154" s="268">
        <v>599245.30000000005</v>
      </c>
      <c r="S154" s="268">
        <v>0</v>
      </c>
      <c r="T154" s="268">
        <v>599245.30000000005</v>
      </c>
      <c r="U154" s="268">
        <v>1366928.3</v>
      </c>
      <c r="V154" s="25">
        <f t="shared" si="4"/>
        <v>599245.30000000005</v>
      </c>
      <c r="W154" s="25" t="e">
        <f>+VLOOKUP(Q154,Breakup!C:D,2,FALSE)</f>
        <v>#N/A</v>
      </c>
    </row>
    <row r="155" spans="3:23" ht="15" customHeight="1" x14ac:dyDescent="0.25"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4" t="s">
        <v>114</v>
      </c>
      <c r="N155" s="264" t="s">
        <v>99</v>
      </c>
      <c r="O155" s="264" t="s">
        <v>414</v>
      </c>
      <c r="P155" s="264" t="s">
        <v>275</v>
      </c>
      <c r="Q155" s="264" t="s">
        <v>415</v>
      </c>
      <c r="R155" s="268">
        <v>0</v>
      </c>
      <c r="S155" s="268">
        <v>0</v>
      </c>
      <c r="T155" s="268">
        <v>0</v>
      </c>
      <c r="U155" s="268">
        <v>103793.08</v>
      </c>
      <c r="V155" s="25">
        <f t="shared" si="4"/>
        <v>0</v>
      </c>
      <c r="W155" s="25" t="e">
        <f>+VLOOKUP(Q155,Breakup!C:D,2,FALSE)</f>
        <v>#N/A</v>
      </c>
    </row>
    <row r="156" spans="3:23" ht="15" customHeight="1" x14ac:dyDescent="0.25"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4" t="s">
        <v>114</v>
      </c>
      <c r="N156" s="264" t="s">
        <v>99</v>
      </c>
      <c r="O156" s="264" t="s">
        <v>414</v>
      </c>
      <c r="P156" s="264" t="s">
        <v>222</v>
      </c>
      <c r="Q156" s="264" t="s">
        <v>416</v>
      </c>
      <c r="R156" s="268">
        <v>102821.85</v>
      </c>
      <c r="S156" s="268">
        <v>0</v>
      </c>
      <c r="T156" s="268">
        <v>102821.85</v>
      </c>
      <c r="U156" s="268">
        <v>288114.77</v>
      </c>
      <c r="V156" s="25">
        <f t="shared" si="4"/>
        <v>102821.85</v>
      </c>
      <c r="W156" s="25" t="e">
        <f>+VLOOKUP(Q156,Breakup!C:D,2,FALSE)</f>
        <v>#N/A</v>
      </c>
    </row>
    <row r="157" spans="3:23" ht="15" customHeight="1" x14ac:dyDescent="0.25"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4" t="s">
        <v>114</v>
      </c>
      <c r="N157" s="264" t="s">
        <v>99</v>
      </c>
      <c r="O157" s="264" t="s">
        <v>417</v>
      </c>
      <c r="P157" s="264" t="s">
        <v>222</v>
      </c>
      <c r="Q157" s="264" t="s">
        <v>418</v>
      </c>
      <c r="R157" s="268">
        <v>1150000</v>
      </c>
      <c r="S157" s="268">
        <v>0</v>
      </c>
      <c r="T157" s="268">
        <v>1150000</v>
      </c>
      <c r="U157" s="268">
        <v>3122346</v>
      </c>
      <c r="V157" s="25">
        <f t="shared" si="4"/>
        <v>1150000</v>
      </c>
      <c r="W157" s="25" t="e">
        <f>+VLOOKUP(Q157,Breakup!C:D,2,FALSE)</f>
        <v>#N/A</v>
      </c>
    </row>
    <row r="158" spans="3:23" ht="15" customHeight="1" x14ac:dyDescent="0.25"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4" t="s">
        <v>114</v>
      </c>
      <c r="N158" s="264" t="s">
        <v>99</v>
      </c>
      <c r="O158" s="264" t="s">
        <v>419</v>
      </c>
      <c r="P158" s="264" t="s">
        <v>222</v>
      </c>
      <c r="Q158" s="264" t="s">
        <v>420</v>
      </c>
      <c r="R158" s="268">
        <v>131332.10999999999</v>
      </c>
      <c r="S158" s="268">
        <v>0</v>
      </c>
      <c r="T158" s="268">
        <v>131332.10999999999</v>
      </c>
      <c r="U158" s="268">
        <v>1291997.1499999999</v>
      </c>
      <c r="V158" s="25">
        <f t="shared" si="4"/>
        <v>131332.10999999999</v>
      </c>
      <c r="W158" s="25" t="e">
        <f>+VLOOKUP(Q158,Breakup!C:D,2,FALSE)</f>
        <v>#N/A</v>
      </c>
    </row>
    <row r="159" spans="3:23" ht="15" customHeight="1" x14ac:dyDescent="0.25"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4" t="s">
        <v>114</v>
      </c>
      <c r="N159" s="264" t="s">
        <v>99</v>
      </c>
      <c r="O159" s="264" t="s">
        <v>421</v>
      </c>
      <c r="P159" s="264" t="s">
        <v>222</v>
      </c>
      <c r="Q159" s="264" t="s">
        <v>422</v>
      </c>
      <c r="R159" s="268">
        <v>49000</v>
      </c>
      <c r="S159" s="268">
        <v>0</v>
      </c>
      <c r="T159" s="268">
        <v>49000</v>
      </c>
      <c r="U159" s="268">
        <v>245000</v>
      </c>
      <c r="V159" s="25">
        <f t="shared" si="4"/>
        <v>49000</v>
      </c>
      <c r="W159" s="25" t="e">
        <f>+VLOOKUP(Q159,Breakup!C:D,2,FALSE)</f>
        <v>#N/A</v>
      </c>
    </row>
    <row r="160" spans="3:23" ht="15" customHeight="1" x14ac:dyDescent="0.25"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4" t="s">
        <v>114</v>
      </c>
      <c r="N160" s="264" t="s">
        <v>99</v>
      </c>
      <c r="O160" s="264" t="s">
        <v>423</v>
      </c>
      <c r="P160" s="264" t="s">
        <v>222</v>
      </c>
      <c r="Q160" s="264" t="s">
        <v>424</v>
      </c>
      <c r="R160" s="268">
        <v>26552.560000000001</v>
      </c>
      <c r="S160" s="268">
        <v>43408.5</v>
      </c>
      <c r="T160" s="268">
        <v>26552.560000000001</v>
      </c>
      <c r="U160" s="268">
        <v>880260.8</v>
      </c>
      <c r="V160" s="25">
        <f t="shared" si="4"/>
        <v>69961.06</v>
      </c>
      <c r="W160" s="25" t="e">
        <f>+VLOOKUP(Q160,Breakup!C:D,2,FALSE)</f>
        <v>#N/A</v>
      </c>
    </row>
    <row r="161" spans="3:23" ht="15" customHeight="1" x14ac:dyDescent="0.25"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4" t="s">
        <v>114</v>
      </c>
      <c r="N161" s="264" t="s">
        <v>99</v>
      </c>
      <c r="O161" s="264" t="s">
        <v>425</v>
      </c>
      <c r="P161" s="264" t="s">
        <v>275</v>
      </c>
      <c r="Q161" s="264" t="s">
        <v>426</v>
      </c>
      <c r="R161" s="268">
        <v>44733.919999999998</v>
      </c>
      <c r="S161" s="268">
        <v>0</v>
      </c>
      <c r="T161" s="268">
        <v>44733.919999999998</v>
      </c>
      <c r="U161" s="268">
        <v>134287.16</v>
      </c>
      <c r="V161" s="25">
        <f t="shared" si="4"/>
        <v>44733.919999999998</v>
      </c>
      <c r="W161" s="25" t="e">
        <f>+VLOOKUP(Q161,Breakup!C:D,2,FALSE)</f>
        <v>#N/A</v>
      </c>
    </row>
    <row r="162" spans="3:23" ht="15" customHeight="1" x14ac:dyDescent="0.25"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4" t="s">
        <v>114</v>
      </c>
      <c r="N162" s="264" t="s">
        <v>99</v>
      </c>
      <c r="O162" s="264" t="s">
        <v>425</v>
      </c>
      <c r="P162" s="264" t="s">
        <v>222</v>
      </c>
      <c r="Q162" s="264" t="s">
        <v>427</v>
      </c>
      <c r="R162" s="268">
        <v>18795.259999999998</v>
      </c>
      <c r="S162" s="268">
        <v>0</v>
      </c>
      <c r="T162" s="268">
        <v>18795.259999999998</v>
      </c>
      <c r="U162" s="268">
        <v>643301.06999999995</v>
      </c>
      <c r="V162" s="25">
        <f t="shared" si="4"/>
        <v>18795.259999999998</v>
      </c>
      <c r="W162" s="25" t="e">
        <f>+VLOOKUP(Q162,Breakup!C:D,2,FALSE)</f>
        <v>#N/A</v>
      </c>
    </row>
    <row r="163" spans="3:23" ht="15" customHeight="1" x14ac:dyDescent="0.25"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4" t="s">
        <v>114</v>
      </c>
      <c r="N163" s="264" t="s">
        <v>99</v>
      </c>
      <c r="O163" s="264" t="s">
        <v>428</v>
      </c>
      <c r="P163" s="264" t="s">
        <v>222</v>
      </c>
      <c r="Q163" s="264" t="s">
        <v>429</v>
      </c>
      <c r="R163" s="268">
        <v>12566.13</v>
      </c>
      <c r="S163" s="268">
        <v>0</v>
      </c>
      <c r="T163" s="268">
        <v>12566.13</v>
      </c>
      <c r="U163" s="268">
        <v>12566.13</v>
      </c>
      <c r="V163" s="25">
        <f t="shared" si="4"/>
        <v>12566.13</v>
      </c>
      <c r="W163" s="25" t="e">
        <f>+VLOOKUP(Q163,Breakup!C:D,2,FALSE)</f>
        <v>#N/A</v>
      </c>
    </row>
    <row r="164" spans="3:23" ht="15" customHeight="1" x14ac:dyDescent="0.25"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4" t="s">
        <v>114</v>
      </c>
      <c r="N164" s="264" t="s">
        <v>99</v>
      </c>
      <c r="O164" s="264" t="s">
        <v>430</v>
      </c>
      <c r="P164" s="264" t="s">
        <v>222</v>
      </c>
      <c r="Q164" s="264" t="s">
        <v>431</v>
      </c>
      <c r="R164" s="268">
        <v>29082</v>
      </c>
      <c r="S164" s="268">
        <v>0</v>
      </c>
      <c r="T164" s="268">
        <v>29082</v>
      </c>
      <c r="U164" s="268">
        <v>608000</v>
      </c>
      <c r="V164" s="25">
        <f t="shared" si="4"/>
        <v>29082</v>
      </c>
      <c r="W164" s="25" t="e">
        <f>+VLOOKUP(Q164,Breakup!C:D,2,FALSE)</f>
        <v>#N/A</v>
      </c>
    </row>
    <row r="165" spans="3:23" ht="15" customHeight="1" x14ac:dyDescent="0.25"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4" t="s">
        <v>114</v>
      </c>
      <c r="N165" s="264" t="s">
        <v>99</v>
      </c>
      <c r="O165" s="264" t="s">
        <v>432</v>
      </c>
      <c r="P165" s="264" t="s">
        <v>222</v>
      </c>
      <c r="Q165" s="264" t="s">
        <v>433</v>
      </c>
      <c r="R165" s="268">
        <v>129421.2</v>
      </c>
      <c r="S165" s="268">
        <v>0</v>
      </c>
      <c r="T165" s="268">
        <v>129421.2</v>
      </c>
      <c r="U165" s="268">
        <v>322500</v>
      </c>
      <c r="V165" s="25">
        <f t="shared" si="4"/>
        <v>129421.2</v>
      </c>
      <c r="W165" s="25" t="e">
        <f>+VLOOKUP(Q165,Breakup!C:D,2,FALSE)</f>
        <v>#N/A</v>
      </c>
    </row>
    <row r="166" spans="3:23" ht="15" customHeight="1" x14ac:dyDescent="0.25"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4" t="s">
        <v>114</v>
      </c>
      <c r="N166" s="264" t="s">
        <v>99</v>
      </c>
      <c r="O166" s="264" t="s">
        <v>434</v>
      </c>
      <c r="P166" s="264" t="s">
        <v>222</v>
      </c>
      <c r="Q166" s="264" t="s">
        <v>435</v>
      </c>
      <c r="R166" s="268">
        <v>1501606.28</v>
      </c>
      <c r="S166" s="268">
        <v>0</v>
      </c>
      <c r="T166" s="268">
        <v>1501606.28</v>
      </c>
      <c r="U166" s="268">
        <v>2372345.44</v>
      </c>
      <c r="V166" s="25">
        <f t="shared" si="4"/>
        <v>1501606.28</v>
      </c>
      <c r="W166" s="25" t="e">
        <f>+VLOOKUP(Q166,Breakup!C:D,2,FALSE)</f>
        <v>#N/A</v>
      </c>
    </row>
    <row r="167" spans="3:23" ht="15" customHeight="1" x14ac:dyDescent="0.25"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4" t="s">
        <v>114</v>
      </c>
      <c r="N167" s="264" t="s">
        <v>99</v>
      </c>
      <c r="O167" s="264" t="s">
        <v>436</v>
      </c>
      <c r="P167" s="264" t="s">
        <v>275</v>
      </c>
      <c r="Q167" s="264" t="s">
        <v>437</v>
      </c>
      <c r="R167" s="268">
        <v>49793.02</v>
      </c>
      <c r="S167" s="268">
        <v>0</v>
      </c>
      <c r="T167" s="268">
        <v>49793.02</v>
      </c>
      <c r="U167" s="268">
        <v>705030</v>
      </c>
      <c r="V167" s="25">
        <f t="shared" si="4"/>
        <v>49793.02</v>
      </c>
      <c r="W167" s="25" t="e">
        <f>+VLOOKUP(Q167,Breakup!C:D,2,FALSE)</f>
        <v>#N/A</v>
      </c>
    </row>
    <row r="168" spans="3:23" ht="15" customHeight="1" x14ac:dyDescent="0.25"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4" t="s">
        <v>114</v>
      </c>
      <c r="N168" s="264" t="s">
        <v>99</v>
      </c>
      <c r="O168" s="264" t="s">
        <v>438</v>
      </c>
      <c r="P168" s="264" t="s">
        <v>222</v>
      </c>
      <c r="Q168" s="264" t="s">
        <v>439</v>
      </c>
      <c r="R168" s="268">
        <v>402791</v>
      </c>
      <c r="S168" s="268">
        <v>0</v>
      </c>
      <c r="T168" s="268">
        <v>402791</v>
      </c>
      <c r="U168" s="268">
        <v>2319525.5</v>
      </c>
      <c r="V168" s="25">
        <f t="shared" ref="V168:V200" si="5">+IF(P168="LW",T168,R168)+S168</f>
        <v>402791</v>
      </c>
      <c r="W168" s="25" t="e">
        <f>+VLOOKUP(Q168,Breakup!C:D,2,FALSE)</f>
        <v>#N/A</v>
      </c>
    </row>
    <row r="169" spans="3:23" ht="15" customHeight="1" x14ac:dyDescent="0.25"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4" t="s">
        <v>114</v>
      </c>
      <c r="N169" s="264" t="s">
        <v>99</v>
      </c>
      <c r="O169" s="264" t="s">
        <v>440</v>
      </c>
      <c r="P169" s="264" t="s">
        <v>222</v>
      </c>
      <c r="Q169" s="264" t="s">
        <v>441</v>
      </c>
      <c r="R169" s="268">
        <v>746526.1</v>
      </c>
      <c r="S169" s="268">
        <v>253699.20000000001</v>
      </c>
      <c r="T169" s="268">
        <v>746526.1</v>
      </c>
      <c r="U169" s="268">
        <v>1564700</v>
      </c>
      <c r="V169" s="25">
        <f t="shared" si="5"/>
        <v>1000225.3</v>
      </c>
      <c r="W169" s="25" t="e">
        <f>+VLOOKUP(Q169,Breakup!C:D,2,FALSE)</f>
        <v>#N/A</v>
      </c>
    </row>
    <row r="170" spans="3:23" ht="15" customHeight="1" x14ac:dyDescent="0.25">
      <c r="C170" s="263"/>
      <c r="D170" s="263"/>
      <c r="E170" s="263"/>
      <c r="F170" s="263"/>
      <c r="G170" s="263"/>
      <c r="H170" s="263"/>
      <c r="I170" s="263"/>
      <c r="J170" s="263"/>
      <c r="K170" s="263"/>
      <c r="L170" s="263"/>
      <c r="M170" s="264" t="s">
        <v>114</v>
      </c>
      <c r="N170" s="264" t="s">
        <v>99</v>
      </c>
      <c r="O170" s="264" t="s">
        <v>442</v>
      </c>
      <c r="P170" s="264" t="s">
        <v>222</v>
      </c>
      <c r="Q170" s="264" t="s">
        <v>443</v>
      </c>
      <c r="R170" s="268">
        <v>296382</v>
      </c>
      <c r="S170" s="268">
        <v>0</v>
      </c>
      <c r="T170" s="268">
        <v>296382</v>
      </c>
      <c r="U170" s="268">
        <v>344157</v>
      </c>
      <c r="V170" s="25">
        <f t="shared" si="5"/>
        <v>296382</v>
      </c>
      <c r="W170" s="25" t="e">
        <f>+VLOOKUP(Q170,Breakup!C:D,2,FALSE)</f>
        <v>#N/A</v>
      </c>
    </row>
    <row r="171" spans="3:23" ht="15" customHeight="1" x14ac:dyDescent="0.25">
      <c r="C171" s="263"/>
      <c r="D171" s="263"/>
      <c r="E171" s="263"/>
      <c r="F171" s="263"/>
      <c r="G171" s="263"/>
      <c r="H171" s="263"/>
      <c r="I171" s="263"/>
      <c r="J171" s="263"/>
      <c r="K171" s="263"/>
      <c r="L171" s="263"/>
      <c r="M171" s="264" t="s">
        <v>114</v>
      </c>
      <c r="N171" s="264" t="s">
        <v>99</v>
      </c>
      <c r="O171" s="264" t="s">
        <v>444</v>
      </c>
      <c r="P171" s="264" t="s">
        <v>222</v>
      </c>
      <c r="Q171" s="264" t="s">
        <v>445</v>
      </c>
      <c r="R171" s="268">
        <v>273242.28000000003</v>
      </c>
      <c r="S171" s="268">
        <v>51632.5</v>
      </c>
      <c r="T171" s="268">
        <v>273242.28000000003</v>
      </c>
      <c r="U171" s="268">
        <v>590000</v>
      </c>
      <c r="V171" s="25">
        <f t="shared" si="5"/>
        <v>324874.78000000003</v>
      </c>
      <c r="W171" s="25" t="e">
        <f>+VLOOKUP(Q171,Breakup!C:D,2,FALSE)</f>
        <v>#N/A</v>
      </c>
    </row>
    <row r="172" spans="3:23" ht="15" customHeight="1" x14ac:dyDescent="0.25">
      <c r="C172" s="263"/>
      <c r="D172" s="263"/>
      <c r="E172" s="263"/>
      <c r="F172" s="263"/>
      <c r="G172" s="263"/>
      <c r="H172" s="263"/>
      <c r="I172" s="263"/>
      <c r="J172" s="263"/>
      <c r="K172" s="263"/>
      <c r="L172" s="263"/>
      <c r="M172" s="264" t="s">
        <v>114</v>
      </c>
      <c r="N172" s="264" t="s">
        <v>99</v>
      </c>
      <c r="O172" s="264" t="s">
        <v>446</v>
      </c>
      <c r="P172" s="264" t="s">
        <v>222</v>
      </c>
      <c r="Q172" s="264" t="s">
        <v>447</v>
      </c>
      <c r="R172" s="268">
        <v>0</v>
      </c>
      <c r="S172" s="268">
        <v>0</v>
      </c>
      <c r="T172" s="268">
        <v>0</v>
      </c>
      <c r="U172" s="268">
        <v>359307</v>
      </c>
      <c r="V172" s="25">
        <f t="shared" si="5"/>
        <v>0</v>
      </c>
      <c r="W172" s="25" t="e">
        <f>+VLOOKUP(Q172,Breakup!C:D,2,FALSE)</f>
        <v>#N/A</v>
      </c>
    </row>
    <row r="173" spans="3:23" ht="15" customHeight="1" x14ac:dyDescent="0.25">
      <c r="C173" s="263"/>
      <c r="D173" s="263"/>
      <c r="E173" s="263"/>
      <c r="F173" s="263"/>
      <c r="G173" s="263"/>
      <c r="H173" s="263"/>
      <c r="I173" s="263"/>
      <c r="J173" s="263"/>
      <c r="K173" s="263"/>
      <c r="L173" s="263"/>
      <c r="M173" s="264" t="s">
        <v>114</v>
      </c>
      <c r="N173" s="264" t="s">
        <v>99</v>
      </c>
      <c r="O173" s="264" t="s">
        <v>448</v>
      </c>
      <c r="P173" s="264" t="s">
        <v>222</v>
      </c>
      <c r="Q173" s="264" t="s">
        <v>449</v>
      </c>
      <c r="R173" s="268">
        <v>0</v>
      </c>
      <c r="S173" s="268">
        <v>0</v>
      </c>
      <c r="T173" s="268">
        <v>0</v>
      </c>
      <c r="U173" s="268">
        <v>38210</v>
      </c>
      <c r="V173" s="25">
        <f t="shared" si="5"/>
        <v>0</v>
      </c>
      <c r="W173" s="25" t="e">
        <f>+VLOOKUP(Q173,Breakup!C:D,2,FALSE)</f>
        <v>#N/A</v>
      </c>
    </row>
    <row r="174" spans="3:23" ht="15" customHeight="1" x14ac:dyDescent="0.25">
      <c r="C174" s="263"/>
      <c r="D174" s="263"/>
      <c r="E174" s="263"/>
      <c r="F174" s="263"/>
      <c r="G174" s="263"/>
      <c r="H174" s="263"/>
      <c r="I174" s="263"/>
      <c r="J174" s="263"/>
      <c r="K174" s="263"/>
      <c r="L174" s="263"/>
      <c r="M174" s="264" t="s">
        <v>114</v>
      </c>
      <c r="N174" s="264" t="s">
        <v>99</v>
      </c>
      <c r="O174" s="264" t="s">
        <v>471</v>
      </c>
      <c r="P174" s="264" t="s">
        <v>222</v>
      </c>
      <c r="Q174" s="264" t="s">
        <v>259</v>
      </c>
      <c r="R174" s="268">
        <v>0</v>
      </c>
      <c r="S174" s="268">
        <v>0</v>
      </c>
      <c r="T174" s="268">
        <v>0</v>
      </c>
      <c r="U174" s="268">
        <v>122137</v>
      </c>
      <c r="V174" s="25">
        <f t="shared" si="5"/>
        <v>0</v>
      </c>
      <c r="W174" s="25" t="e">
        <f>+VLOOKUP(Q174,Breakup!C:D,2,FALSE)</f>
        <v>#N/A</v>
      </c>
    </row>
    <row r="175" spans="3:23" ht="15" customHeight="1" x14ac:dyDescent="0.25">
      <c r="C175" s="263"/>
      <c r="D175" s="263"/>
      <c r="E175" s="263"/>
      <c r="F175" s="263"/>
      <c r="G175" s="263"/>
      <c r="H175" s="263"/>
      <c r="I175" s="263"/>
      <c r="J175" s="263"/>
      <c r="K175" s="263"/>
      <c r="L175" s="263"/>
      <c r="M175" s="264" t="s">
        <v>114</v>
      </c>
      <c r="N175" s="264" t="s">
        <v>99</v>
      </c>
      <c r="O175" s="264" t="s">
        <v>450</v>
      </c>
      <c r="P175" s="264" t="s">
        <v>222</v>
      </c>
      <c r="Q175" s="264" t="s">
        <v>270</v>
      </c>
      <c r="R175" s="268">
        <v>0</v>
      </c>
      <c r="S175" s="268">
        <v>0</v>
      </c>
      <c r="T175" s="268">
        <v>0</v>
      </c>
      <c r="U175" s="268">
        <v>27455</v>
      </c>
      <c r="V175" s="25">
        <f t="shared" si="5"/>
        <v>0</v>
      </c>
      <c r="W175" s="25" t="e">
        <f>+VLOOKUP(Q175,Breakup!C:D,2,FALSE)</f>
        <v>#N/A</v>
      </c>
    </row>
    <row r="176" spans="3:23" ht="15" customHeight="1" x14ac:dyDescent="0.25">
      <c r="C176" s="263"/>
      <c r="D176" s="263"/>
      <c r="E176" s="263"/>
      <c r="F176" s="263"/>
      <c r="G176" s="263"/>
      <c r="H176" s="263"/>
      <c r="I176" s="263"/>
      <c r="J176" s="263"/>
      <c r="K176" s="263"/>
      <c r="L176" s="263"/>
      <c r="M176" s="264" t="s">
        <v>114</v>
      </c>
      <c r="N176" s="264" t="s">
        <v>99</v>
      </c>
      <c r="O176" s="264" t="s">
        <v>451</v>
      </c>
      <c r="P176" s="264" t="s">
        <v>222</v>
      </c>
      <c r="Q176" s="264" t="s">
        <v>273</v>
      </c>
      <c r="R176" s="268">
        <v>0</v>
      </c>
      <c r="S176" s="268">
        <v>0</v>
      </c>
      <c r="T176" s="268">
        <v>0</v>
      </c>
      <c r="U176" s="268">
        <v>30000</v>
      </c>
      <c r="V176" s="25">
        <f t="shared" si="5"/>
        <v>0</v>
      </c>
      <c r="W176" s="25" t="e">
        <f>+VLOOKUP(Q176,Breakup!C:D,2,FALSE)</f>
        <v>#N/A</v>
      </c>
    </row>
    <row r="177" spans="3:23" ht="15" customHeight="1" x14ac:dyDescent="0.25">
      <c r="C177" s="263"/>
      <c r="D177" s="263"/>
      <c r="E177" s="263"/>
      <c r="F177" s="263"/>
      <c r="G177" s="263"/>
      <c r="H177" s="263"/>
      <c r="I177" s="263"/>
      <c r="J177" s="263"/>
      <c r="K177" s="263"/>
      <c r="L177" s="263"/>
      <c r="M177" s="264" t="s">
        <v>114</v>
      </c>
      <c r="N177" s="264" t="s">
        <v>99</v>
      </c>
      <c r="O177" s="264" t="s">
        <v>452</v>
      </c>
      <c r="P177" s="264" t="s">
        <v>222</v>
      </c>
      <c r="Q177" s="264" t="s">
        <v>277</v>
      </c>
      <c r="R177" s="268">
        <v>0</v>
      </c>
      <c r="S177" s="268">
        <v>0</v>
      </c>
      <c r="T177" s="268">
        <v>0</v>
      </c>
      <c r="U177" s="268">
        <v>30000</v>
      </c>
      <c r="V177" s="25">
        <f t="shared" si="5"/>
        <v>0</v>
      </c>
      <c r="W177" s="25" t="e">
        <f>+VLOOKUP(Q177,Breakup!C:D,2,FALSE)</f>
        <v>#N/A</v>
      </c>
    </row>
    <row r="178" spans="3:23" ht="15" customHeight="1" x14ac:dyDescent="0.25">
      <c r="C178" s="263"/>
      <c r="D178" s="263"/>
      <c r="E178" s="263"/>
      <c r="F178" s="263"/>
      <c r="G178" s="263"/>
      <c r="H178" s="263"/>
      <c r="I178" s="263"/>
      <c r="J178" s="263"/>
      <c r="K178" s="263"/>
      <c r="L178" s="263"/>
      <c r="M178" s="264" t="s">
        <v>114</v>
      </c>
      <c r="N178" s="264" t="s">
        <v>99</v>
      </c>
      <c r="O178" s="264" t="s">
        <v>453</v>
      </c>
      <c r="P178" s="264" t="s">
        <v>222</v>
      </c>
      <c r="Q178" s="264" t="s">
        <v>454</v>
      </c>
      <c r="R178" s="268">
        <v>0</v>
      </c>
      <c r="S178" s="268">
        <v>0</v>
      </c>
      <c r="T178" s="268">
        <v>0</v>
      </c>
      <c r="U178" s="268">
        <v>22000</v>
      </c>
      <c r="V178" s="25">
        <f t="shared" si="5"/>
        <v>0</v>
      </c>
      <c r="W178" s="25" t="e">
        <f>+VLOOKUP(Q178,Breakup!C:D,2,FALSE)</f>
        <v>#N/A</v>
      </c>
    </row>
    <row r="179" spans="3:23" ht="15" customHeight="1" x14ac:dyDescent="0.25">
      <c r="C179" s="263"/>
      <c r="D179" s="263"/>
      <c r="E179" s="263"/>
      <c r="F179" s="263"/>
      <c r="G179" s="263"/>
      <c r="H179" s="263"/>
      <c r="I179" s="263"/>
      <c r="J179" s="263"/>
      <c r="K179" s="263"/>
      <c r="L179" s="263"/>
      <c r="M179" s="264" t="s">
        <v>114</v>
      </c>
      <c r="N179" s="264" t="s">
        <v>99</v>
      </c>
      <c r="O179" s="264" t="s">
        <v>455</v>
      </c>
      <c r="P179" s="264" t="s">
        <v>222</v>
      </c>
      <c r="Q179" s="264" t="s">
        <v>284</v>
      </c>
      <c r="R179" s="268">
        <v>97880.18</v>
      </c>
      <c r="S179" s="268">
        <v>0</v>
      </c>
      <c r="T179" s="268">
        <v>97880.18</v>
      </c>
      <c r="U179" s="268">
        <v>683472.23</v>
      </c>
      <c r="V179" s="25">
        <f t="shared" si="5"/>
        <v>97880.18</v>
      </c>
      <c r="W179" s="25" t="e">
        <f>+VLOOKUP(Q179,Breakup!C:D,2,FALSE)</f>
        <v>#N/A</v>
      </c>
    </row>
    <row r="180" spans="3:23" ht="15" customHeight="1" x14ac:dyDescent="0.25">
      <c r="C180" s="263"/>
      <c r="D180" s="263"/>
      <c r="E180" s="263"/>
      <c r="F180" s="263"/>
      <c r="G180" s="263"/>
      <c r="H180" s="263"/>
      <c r="I180" s="263"/>
      <c r="J180" s="263"/>
      <c r="K180" s="263"/>
      <c r="L180" s="263"/>
      <c r="M180" s="264" t="s">
        <v>114</v>
      </c>
      <c r="N180" s="264" t="s">
        <v>99</v>
      </c>
      <c r="O180" s="264" t="s">
        <v>456</v>
      </c>
      <c r="P180" s="264" t="s">
        <v>222</v>
      </c>
      <c r="Q180" s="264" t="s">
        <v>457</v>
      </c>
      <c r="R180" s="268">
        <v>0</v>
      </c>
      <c r="S180" s="268">
        <v>0</v>
      </c>
      <c r="T180" s="268">
        <v>0</v>
      </c>
      <c r="U180" s="268">
        <v>0</v>
      </c>
      <c r="V180" s="25">
        <f t="shared" si="5"/>
        <v>0</v>
      </c>
      <c r="W180" s="25" t="e">
        <f>+VLOOKUP(Q180,Breakup!C:D,2,FALSE)</f>
        <v>#N/A</v>
      </c>
    </row>
    <row r="181" spans="3:23" ht="15" customHeight="1" x14ac:dyDescent="0.25">
      <c r="C181" s="263"/>
      <c r="D181" s="263"/>
      <c r="E181" s="263"/>
      <c r="F181" s="263"/>
      <c r="G181" s="263"/>
      <c r="H181" s="263"/>
      <c r="I181" s="263"/>
      <c r="J181" s="263"/>
      <c r="K181" s="263"/>
      <c r="L181" s="263"/>
      <c r="M181" s="264" t="s">
        <v>114</v>
      </c>
      <c r="N181" s="264" t="s">
        <v>99</v>
      </c>
      <c r="O181" s="264" t="s">
        <v>458</v>
      </c>
      <c r="P181" s="264" t="s">
        <v>222</v>
      </c>
      <c r="Q181" s="264" t="s">
        <v>459</v>
      </c>
      <c r="R181" s="268">
        <v>0</v>
      </c>
      <c r="S181" s="268">
        <v>0</v>
      </c>
      <c r="T181" s="268">
        <v>0</v>
      </c>
      <c r="U181" s="268">
        <v>100000</v>
      </c>
      <c r="V181" s="25">
        <f t="shared" si="5"/>
        <v>0</v>
      </c>
      <c r="W181" s="25" t="e">
        <f>+VLOOKUP(Q181,Breakup!C:D,2,FALSE)</f>
        <v>#N/A</v>
      </c>
    </row>
    <row r="182" spans="3:23" ht="15" customHeight="1" x14ac:dyDescent="0.25">
      <c r="C182" s="263"/>
      <c r="D182" s="263"/>
      <c r="E182" s="263"/>
      <c r="F182" s="263"/>
      <c r="G182" s="263"/>
      <c r="H182" s="263"/>
      <c r="I182" s="263"/>
      <c r="J182" s="263"/>
      <c r="K182" s="263"/>
      <c r="L182" s="263"/>
      <c r="M182" s="264" t="s">
        <v>114</v>
      </c>
      <c r="N182" s="264" t="s">
        <v>99</v>
      </c>
      <c r="O182" s="264" t="s">
        <v>460</v>
      </c>
      <c r="P182" s="264" t="s">
        <v>275</v>
      </c>
      <c r="Q182" s="264" t="s">
        <v>474</v>
      </c>
      <c r="R182" s="268">
        <v>2000</v>
      </c>
      <c r="S182" s="268">
        <v>0</v>
      </c>
      <c r="T182" s="268">
        <v>2000</v>
      </c>
      <c r="U182" s="268">
        <v>2000</v>
      </c>
      <c r="V182" s="25">
        <f t="shared" si="5"/>
        <v>2000</v>
      </c>
      <c r="W182" s="25" t="e">
        <f>+VLOOKUP(Q182,Breakup!C:D,2,FALSE)</f>
        <v>#N/A</v>
      </c>
    </row>
    <row r="183" spans="3:23" ht="15" customHeight="1" x14ac:dyDescent="0.25">
      <c r="C183" s="263"/>
      <c r="D183" s="263"/>
      <c r="E183" s="263"/>
      <c r="F183" s="263"/>
      <c r="G183" s="263"/>
      <c r="H183" s="263"/>
      <c r="I183" s="263"/>
      <c r="J183" s="263"/>
      <c r="K183" s="263"/>
      <c r="L183" s="263"/>
      <c r="M183" s="263"/>
      <c r="N183" s="263"/>
      <c r="O183" s="263"/>
      <c r="P183" s="263"/>
      <c r="Q183" s="263"/>
      <c r="R183" s="263"/>
      <c r="S183" s="263"/>
      <c r="T183" s="263"/>
      <c r="U183" s="263"/>
      <c r="V183" s="25">
        <f t="shared" si="5"/>
        <v>0</v>
      </c>
      <c r="W183" s="25" t="e">
        <f>+VLOOKUP(Q183,Breakup!C:D,2,FALSE)</f>
        <v>#N/A</v>
      </c>
    </row>
    <row r="184" spans="3:23" ht="15" customHeight="1" x14ac:dyDescent="0.25">
      <c r="V184" s="25">
        <f t="shared" si="5"/>
        <v>0</v>
      </c>
      <c r="W184" s="25" t="e">
        <f>+VLOOKUP(Q184,Breakup!C:D,2,FALSE)</f>
        <v>#N/A</v>
      </c>
    </row>
    <row r="185" spans="3:23" ht="15" customHeight="1" x14ac:dyDescent="0.25">
      <c r="V185" s="25">
        <f t="shared" si="5"/>
        <v>0</v>
      </c>
      <c r="W185" s="25" t="e">
        <f>+VLOOKUP(Q185,Breakup!C:D,2,FALSE)</f>
        <v>#N/A</v>
      </c>
    </row>
    <row r="186" spans="3:23" ht="15" customHeight="1" x14ac:dyDescent="0.25">
      <c r="V186" s="25">
        <f t="shared" si="5"/>
        <v>0</v>
      </c>
      <c r="W186" s="25" t="e">
        <f>+VLOOKUP(Q186,Breakup!C:D,2,FALSE)</f>
        <v>#N/A</v>
      </c>
    </row>
    <row r="187" spans="3:23" ht="15" customHeight="1" x14ac:dyDescent="0.25">
      <c r="V187" s="25">
        <f t="shared" si="5"/>
        <v>0</v>
      </c>
      <c r="W187" s="25" t="e">
        <f>+VLOOKUP(Q187,Breakup!C:D,2,FALSE)</f>
        <v>#N/A</v>
      </c>
    </row>
    <row r="188" spans="3:23" ht="15" customHeight="1" x14ac:dyDescent="0.25">
      <c r="V188" s="25">
        <f t="shared" si="5"/>
        <v>0</v>
      </c>
      <c r="W188" s="25" t="e">
        <f>+VLOOKUP(Q188,Breakup!C:D,2,FALSE)</f>
        <v>#N/A</v>
      </c>
    </row>
    <row r="189" spans="3:23" ht="15" customHeight="1" x14ac:dyDescent="0.25">
      <c r="V189" s="25">
        <f t="shared" si="5"/>
        <v>0</v>
      </c>
      <c r="W189" s="25" t="e">
        <f>+VLOOKUP(Q189,Breakup!C:D,2,FALSE)</f>
        <v>#N/A</v>
      </c>
    </row>
    <row r="190" spans="3:23" ht="15" customHeight="1" x14ac:dyDescent="0.25">
      <c r="V190" s="25">
        <f t="shared" si="5"/>
        <v>0</v>
      </c>
      <c r="W190" s="25" t="e">
        <f>+VLOOKUP(Q190,Breakup!C:D,2,FALSE)</f>
        <v>#N/A</v>
      </c>
    </row>
    <row r="191" spans="3:23" ht="15" customHeight="1" x14ac:dyDescent="0.25">
      <c r="V191" s="25">
        <f t="shared" si="5"/>
        <v>0</v>
      </c>
      <c r="W191" s="25" t="e">
        <f>+VLOOKUP(Q191,Breakup!C:D,2,FALSE)</f>
        <v>#N/A</v>
      </c>
    </row>
    <row r="192" spans="3:23" ht="15" customHeight="1" x14ac:dyDescent="0.25">
      <c r="V192" s="25">
        <f t="shared" si="5"/>
        <v>0</v>
      </c>
      <c r="W192" s="25" t="e">
        <f>+VLOOKUP(Q192,Breakup!C:D,2,FALSE)</f>
        <v>#N/A</v>
      </c>
    </row>
    <row r="193" spans="22:23" ht="15" customHeight="1" x14ac:dyDescent="0.25">
      <c r="V193" s="25">
        <f t="shared" si="5"/>
        <v>0</v>
      </c>
      <c r="W193" s="25" t="e">
        <f>+VLOOKUP(Q193,Breakup!C:D,2,FALSE)</f>
        <v>#N/A</v>
      </c>
    </row>
    <row r="194" spans="22:23" ht="15" customHeight="1" x14ac:dyDescent="0.25">
      <c r="V194" s="25">
        <f t="shared" si="5"/>
        <v>0</v>
      </c>
      <c r="W194" s="25" t="e">
        <f>+VLOOKUP(Q194,Breakup!C:D,2,FALSE)</f>
        <v>#N/A</v>
      </c>
    </row>
    <row r="195" spans="22:23" ht="15" customHeight="1" x14ac:dyDescent="0.25">
      <c r="V195" s="25">
        <f t="shared" si="5"/>
        <v>0</v>
      </c>
      <c r="W195" s="25" t="e">
        <f>+VLOOKUP(Q195,Breakup!C:D,2,FALSE)</f>
        <v>#N/A</v>
      </c>
    </row>
    <row r="196" spans="22:23" ht="15" customHeight="1" x14ac:dyDescent="0.25">
      <c r="V196" s="25">
        <f t="shared" si="5"/>
        <v>0</v>
      </c>
      <c r="W196" s="25" t="e">
        <f>+VLOOKUP(Q196,Breakup!C:D,2,FALSE)</f>
        <v>#N/A</v>
      </c>
    </row>
    <row r="197" spans="22:23" ht="15" customHeight="1" x14ac:dyDescent="0.25">
      <c r="V197" s="25">
        <f t="shared" si="5"/>
        <v>0</v>
      </c>
      <c r="W197" s="25" t="e">
        <f>+VLOOKUP(Q197,Breakup!C:D,2,FALSE)</f>
        <v>#N/A</v>
      </c>
    </row>
    <row r="198" spans="22:23" ht="15" customHeight="1" x14ac:dyDescent="0.25">
      <c r="V198" s="25">
        <f t="shared" si="5"/>
        <v>0</v>
      </c>
      <c r="W198" s="25" t="e">
        <f>+VLOOKUP(Q198,Breakup!C:D,2,FALSE)</f>
        <v>#N/A</v>
      </c>
    </row>
    <row r="199" spans="22:23" ht="15" customHeight="1" x14ac:dyDescent="0.25">
      <c r="V199" s="25">
        <f t="shared" si="5"/>
        <v>0</v>
      </c>
      <c r="W199" s="25" t="e">
        <f>+VLOOKUP(Q199,Breakup!C:D,2,FALSE)</f>
        <v>#N/A</v>
      </c>
    </row>
    <row r="200" spans="22:23" ht="15" customHeight="1" x14ac:dyDescent="0.25">
      <c r="V200" s="25">
        <f t="shared" si="5"/>
        <v>0</v>
      </c>
      <c r="W200" s="25" t="e">
        <f>+VLOOKUP(Q200,Breakup!C:D,2,FALSE)</f>
        <v>#N/A</v>
      </c>
    </row>
  </sheetData>
  <customSheetViews>
    <customSheetView guid="{923E1608-992F-4A46-BF6A-F2A437F78FBE}" topLeftCell="H1">
      <selection activeCell="P1" sqref="P1:P1048576"/>
      <pageMargins left="0.7" right="0.7" top="0.75" bottom="0.75" header="0.3" footer="0.3"/>
      <pageSetup paperSize="9" orientation="portrait" r:id="rId1"/>
    </customSheetView>
    <customSheetView guid="{639E89E1-617D-4911-BF17-D7BEC20C5C85}" topLeftCell="A7">
      <selection activeCell="C25" sqref="C25"/>
      <pageMargins left="0.7" right="0.7" top="0.75" bottom="0.75" header="0.3" footer="0.3"/>
    </customSheetView>
    <customSheetView guid="{56EAA32D-A85E-401C-98A4-1C3A7899AA50}" topLeftCell="A7">
      <selection activeCell="C25" sqref="C25"/>
      <pageMargins left="0.7" right="0.7" top="0.75" bottom="0.75" header="0.3" footer="0.3"/>
    </customSheetView>
    <customSheetView guid="{169CD34D-0241-4D20-B138-117C4797EAB1}" topLeftCell="A7">
      <selection activeCell="C25" sqref="C25"/>
      <pageMargins left="0.7" right="0.7" top="0.75" bottom="0.75" header="0.3" footer="0.3"/>
    </customSheetView>
    <customSheetView guid="{A034CC65-DD99-41D0-9D0E-72666CEF43E7}">
      <selection activeCell="F14" sqref="F14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A1:J83"/>
  <sheetViews>
    <sheetView workbookViewId="0">
      <selection activeCell="C33" sqref="C18:C33"/>
    </sheetView>
  </sheetViews>
  <sheetFormatPr defaultRowHeight="15" customHeight="1" x14ac:dyDescent="0.25"/>
  <cols>
    <col min="1" max="1" width="24.140625" customWidth="1"/>
    <col min="2" max="2" width="14.140625" customWidth="1"/>
    <col min="3" max="3" width="34.42578125" customWidth="1"/>
    <col min="4" max="4" width="23.7109375" customWidth="1"/>
    <col min="5" max="6" width="9.140625" style="25"/>
    <col min="7" max="7" width="34.42578125" customWidth="1"/>
    <col min="8" max="8" width="33.5703125" customWidth="1"/>
  </cols>
  <sheetData>
    <row r="1" spans="1:10" ht="15" customHeight="1" x14ac:dyDescent="0.25">
      <c r="A1" s="28" t="s">
        <v>12</v>
      </c>
      <c r="B1" s="23" t="s">
        <v>13</v>
      </c>
      <c r="C1" s="23" t="s">
        <v>15</v>
      </c>
      <c r="D1" s="26" t="s">
        <v>19</v>
      </c>
      <c r="G1" s="23"/>
      <c r="H1" s="26"/>
    </row>
    <row r="2" spans="1:10" ht="15" customHeight="1" x14ac:dyDescent="0.25">
      <c r="G2" s="102" t="s">
        <v>117</v>
      </c>
      <c r="H2" s="102" t="s">
        <v>117</v>
      </c>
    </row>
    <row r="3" spans="1:10" ht="15" customHeight="1" x14ac:dyDescent="0.25">
      <c r="G3" s="102" t="s">
        <v>120</v>
      </c>
      <c r="H3" s="102" t="s">
        <v>120</v>
      </c>
    </row>
    <row r="4" spans="1:10" ht="15" customHeight="1" x14ac:dyDescent="0.25">
      <c r="G4" s="102" t="s">
        <v>122</v>
      </c>
      <c r="H4" s="102" t="s">
        <v>122</v>
      </c>
    </row>
    <row r="5" spans="1:10" ht="15" customHeight="1" x14ac:dyDescent="0.25">
      <c r="G5" s="102" t="s">
        <v>124</v>
      </c>
      <c r="H5" s="102" t="s">
        <v>124</v>
      </c>
      <c r="J5" s="103"/>
    </row>
    <row r="6" spans="1:10" ht="15" customHeight="1" x14ac:dyDescent="0.25">
      <c r="G6" s="102" t="s">
        <v>125</v>
      </c>
      <c r="H6" s="102" t="s">
        <v>125</v>
      </c>
      <c r="J6" s="104"/>
    </row>
    <row r="7" spans="1:10" ht="15" customHeight="1" x14ac:dyDescent="0.25">
      <c r="G7" s="102" t="s">
        <v>127</v>
      </c>
      <c r="H7" s="102" t="s">
        <v>127</v>
      </c>
      <c r="J7" s="105"/>
    </row>
    <row r="8" spans="1:10" ht="15" customHeight="1" x14ac:dyDescent="0.25">
      <c r="G8" s="102" t="s">
        <v>129</v>
      </c>
      <c r="H8" s="102" t="s">
        <v>129</v>
      </c>
      <c r="J8" s="61"/>
    </row>
    <row r="9" spans="1:10" ht="15" customHeight="1" x14ac:dyDescent="0.25">
      <c r="G9" s="102" t="s">
        <v>131</v>
      </c>
      <c r="H9" s="102" t="s">
        <v>131</v>
      </c>
      <c r="J9" s="106"/>
    </row>
    <row r="10" spans="1:10" ht="15" customHeight="1" x14ac:dyDescent="0.25">
      <c r="G10" s="102" t="s">
        <v>134</v>
      </c>
      <c r="H10" s="102" t="s">
        <v>134</v>
      </c>
      <c r="J10" s="32"/>
    </row>
    <row r="11" spans="1:10" ht="15" customHeight="1" x14ac:dyDescent="0.25">
      <c r="G11" s="102" t="s">
        <v>136</v>
      </c>
      <c r="H11" s="102" t="s">
        <v>136</v>
      </c>
      <c r="J11" s="107"/>
    </row>
    <row r="12" spans="1:10" ht="15" customHeight="1" x14ac:dyDescent="0.25">
      <c r="G12" s="102" t="s">
        <v>138</v>
      </c>
      <c r="H12" s="102" t="s">
        <v>138</v>
      </c>
      <c r="J12" s="61"/>
    </row>
    <row r="13" spans="1:10" ht="15" customHeight="1" x14ac:dyDescent="0.25">
      <c r="G13" s="102" t="s">
        <v>143</v>
      </c>
      <c r="H13" s="102" t="s">
        <v>143</v>
      </c>
      <c r="J13" s="107"/>
    </row>
    <row r="14" spans="1:10" ht="15" customHeight="1" x14ac:dyDescent="0.25">
      <c r="G14" s="102" t="s">
        <v>147</v>
      </c>
      <c r="H14" s="102" t="s">
        <v>147</v>
      </c>
      <c r="J14" s="61"/>
    </row>
    <row r="15" spans="1:10" ht="15" customHeight="1" x14ac:dyDescent="0.25">
      <c r="G15" s="102" t="s">
        <v>151</v>
      </c>
      <c r="H15" s="102" t="s">
        <v>151</v>
      </c>
      <c r="J15" s="108"/>
    </row>
    <row r="16" spans="1:10" ht="15" customHeight="1" x14ac:dyDescent="0.25">
      <c r="G16" s="102" t="s">
        <v>155</v>
      </c>
      <c r="H16" s="102" t="s">
        <v>155</v>
      </c>
      <c r="J16" s="61"/>
    </row>
    <row r="17" spans="7:10" ht="15" customHeight="1" x14ac:dyDescent="0.25">
      <c r="G17" s="102" t="s">
        <v>158</v>
      </c>
      <c r="H17" s="102" t="s">
        <v>158</v>
      </c>
      <c r="J17" s="107"/>
    </row>
    <row r="18" spans="7:10" ht="15" customHeight="1" x14ac:dyDescent="0.25">
      <c r="G18" s="102" t="s">
        <v>162</v>
      </c>
      <c r="H18" s="102" t="s">
        <v>162</v>
      </c>
      <c r="J18" s="61"/>
    </row>
    <row r="19" spans="7:10" ht="15" customHeight="1" x14ac:dyDescent="0.25">
      <c r="G19" s="102" t="s">
        <v>166</v>
      </c>
      <c r="H19" s="102" t="s">
        <v>166</v>
      </c>
      <c r="J19" s="107"/>
    </row>
    <row r="20" spans="7:10" ht="15" customHeight="1" x14ac:dyDescent="0.25">
      <c r="G20" s="102" t="s">
        <v>170</v>
      </c>
      <c r="H20" s="102" t="s">
        <v>170</v>
      </c>
      <c r="J20" s="61"/>
    </row>
    <row r="21" spans="7:10" ht="15" customHeight="1" x14ac:dyDescent="0.25">
      <c r="G21" s="102" t="s">
        <v>174</v>
      </c>
      <c r="H21" s="102" t="s">
        <v>174</v>
      </c>
      <c r="J21" s="107"/>
    </row>
    <row r="22" spans="7:10" ht="15" customHeight="1" x14ac:dyDescent="0.25">
      <c r="G22" s="102" t="s">
        <v>178</v>
      </c>
      <c r="H22" s="102" t="s">
        <v>178</v>
      </c>
      <c r="J22" s="61"/>
    </row>
    <row r="23" spans="7:10" ht="15" customHeight="1" x14ac:dyDescent="0.25">
      <c r="G23" s="102" t="s">
        <v>182</v>
      </c>
      <c r="H23" s="102" t="s">
        <v>182</v>
      </c>
      <c r="J23" s="108"/>
    </row>
    <row r="24" spans="7:10" ht="15" customHeight="1" x14ac:dyDescent="0.25">
      <c r="G24" s="102" t="s">
        <v>186</v>
      </c>
      <c r="H24" s="102" t="s">
        <v>186</v>
      </c>
      <c r="J24" s="61"/>
    </row>
    <row r="25" spans="7:10" ht="15" customHeight="1" x14ac:dyDescent="0.25">
      <c r="G25" s="102" t="s">
        <v>190</v>
      </c>
      <c r="H25" s="102" t="s">
        <v>190</v>
      </c>
      <c r="J25" s="107"/>
    </row>
    <row r="26" spans="7:10" ht="15" customHeight="1" x14ac:dyDescent="0.25">
      <c r="G26" s="102" t="s">
        <v>193</v>
      </c>
      <c r="H26" s="102" t="s">
        <v>193</v>
      </c>
      <c r="J26" s="61"/>
    </row>
    <row r="27" spans="7:10" ht="15" customHeight="1" x14ac:dyDescent="0.25">
      <c r="G27" s="102" t="s">
        <v>197</v>
      </c>
      <c r="H27" s="102" t="s">
        <v>197</v>
      </c>
      <c r="J27" s="107"/>
    </row>
    <row r="28" spans="7:10" ht="15" customHeight="1" x14ac:dyDescent="0.25">
      <c r="G28" s="102" t="s">
        <v>200</v>
      </c>
      <c r="H28" s="102" t="s">
        <v>200</v>
      </c>
      <c r="J28" s="61"/>
    </row>
    <row r="29" spans="7:10" ht="15" customHeight="1" x14ac:dyDescent="0.25">
      <c r="G29" s="102" t="s">
        <v>204</v>
      </c>
      <c r="H29" s="102" t="s">
        <v>204</v>
      </c>
      <c r="J29" s="107"/>
    </row>
    <row r="30" spans="7:10" ht="15" customHeight="1" x14ac:dyDescent="0.25">
      <c r="G30" s="102" t="s">
        <v>208</v>
      </c>
      <c r="H30" s="102" t="s">
        <v>208</v>
      </c>
      <c r="J30" s="61"/>
    </row>
    <row r="31" spans="7:10" ht="15" customHeight="1" x14ac:dyDescent="0.25">
      <c r="G31" s="102" t="s">
        <v>212</v>
      </c>
      <c r="H31" s="102" t="s">
        <v>212</v>
      </c>
      <c r="J31" s="107"/>
    </row>
    <row r="32" spans="7:10" ht="15" customHeight="1" x14ac:dyDescent="0.25">
      <c r="G32" s="102" t="s">
        <v>216</v>
      </c>
      <c r="H32" s="102" t="s">
        <v>216</v>
      </c>
      <c r="J32" s="61"/>
    </row>
    <row r="33" spans="7:10" ht="15" customHeight="1" x14ac:dyDescent="0.25">
      <c r="G33" s="102" t="s">
        <v>220</v>
      </c>
      <c r="H33" s="102" t="s">
        <v>220</v>
      </c>
      <c r="J33" s="107"/>
    </row>
    <row r="34" spans="7:10" ht="15" customHeight="1" x14ac:dyDescent="0.25">
      <c r="G34" s="102" t="s">
        <v>224</v>
      </c>
      <c r="H34" s="102" t="s">
        <v>224</v>
      </c>
      <c r="J34" s="61"/>
    </row>
    <row r="35" spans="7:10" ht="15" customHeight="1" x14ac:dyDescent="0.25">
      <c r="G35" s="102" t="s">
        <v>229</v>
      </c>
      <c r="H35" s="102" t="s">
        <v>229</v>
      </c>
      <c r="J35" s="107"/>
    </row>
    <row r="36" spans="7:10" ht="15" customHeight="1" x14ac:dyDescent="0.25">
      <c r="G36" s="102" t="s">
        <v>233</v>
      </c>
      <c r="H36" s="102" t="s">
        <v>233</v>
      </c>
      <c r="J36" s="61"/>
    </row>
    <row r="37" spans="7:10" ht="15" customHeight="1" x14ac:dyDescent="0.25">
      <c r="G37" s="102" t="s">
        <v>236</v>
      </c>
      <c r="H37" s="102" t="s">
        <v>236</v>
      </c>
      <c r="J37" s="107"/>
    </row>
    <row r="38" spans="7:10" ht="15" customHeight="1" x14ac:dyDescent="0.25">
      <c r="G38" s="102" t="s">
        <v>238</v>
      </c>
      <c r="H38" s="102" t="s">
        <v>238</v>
      </c>
      <c r="J38" s="109"/>
    </row>
    <row r="39" spans="7:10" ht="15" customHeight="1" x14ac:dyDescent="0.25">
      <c r="G39" s="102" t="s">
        <v>168</v>
      </c>
      <c r="H39" s="102" t="s">
        <v>168</v>
      </c>
      <c r="J39" s="108"/>
    </row>
    <row r="40" spans="7:10" ht="15" customHeight="1" x14ac:dyDescent="0.25">
      <c r="G40" s="102" t="s">
        <v>241</v>
      </c>
      <c r="H40" s="102" t="s">
        <v>241</v>
      </c>
      <c r="J40" s="61"/>
    </row>
    <row r="41" spans="7:10" ht="15" customHeight="1" x14ac:dyDescent="0.25">
      <c r="G41" s="102" t="s">
        <v>184</v>
      </c>
      <c r="H41" s="102" t="s">
        <v>184</v>
      </c>
      <c r="J41" s="107"/>
    </row>
    <row r="42" spans="7:10" ht="15" customHeight="1" x14ac:dyDescent="0.25">
      <c r="G42" s="102" t="s">
        <v>246</v>
      </c>
      <c r="H42" s="102" t="s">
        <v>246</v>
      </c>
      <c r="J42" s="61"/>
    </row>
    <row r="43" spans="7:10" ht="15" customHeight="1" x14ac:dyDescent="0.25">
      <c r="G43" s="102" t="s">
        <v>250</v>
      </c>
      <c r="H43" s="102" t="s">
        <v>250</v>
      </c>
      <c r="J43" s="107"/>
    </row>
    <row r="44" spans="7:10" ht="15" customHeight="1" x14ac:dyDescent="0.25">
      <c r="G44" s="102" t="s">
        <v>255</v>
      </c>
      <c r="H44" s="102" t="s">
        <v>255</v>
      </c>
      <c r="J44" s="61"/>
    </row>
    <row r="45" spans="7:10" ht="15" customHeight="1" x14ac:dyDescent="0.25">
      <c r="G45" s="102" t="s">
        <v>259</v>
      </c>
      <c r="H45" s="102" t="s">
        <v>259</v>
      </c>
      <c r="J45" s="107"/>
    </row>
    <row r="46" spans="7:10" ht="15" customHeight="1" x14ac:dyDescent="0.25">
      <c r="G46" s="102" t="s">
        <v>263</v>
      </c>
      <c r="H46" s="102" t="s">
        <v>263</v>
      </c>
      <c r="J46" s="61"/>
    </row>
    <row r="47" spans="7:10" ht="15" customHeight="1" x14ac:dyDescent="0.25">
      <c r="G47" s="102" t="s">
        <v>266</v>
      </c>
      <c r="H47" s="102" t="s">
        <v>266</v>
      </c>
      <c r="J47" s="107"/>
    </row>
    <row r="48" spans="7:10" ht="15" customHeight="1" x14ac:dyDescent="0.25">
      <c r="G48" s="102" t="s">
        <v>270</v>
      </c>
      <c r="H48" s="102" t="s">
        <v>270</v>
      </c>
      <c r="J48" s="61"/>
    </row>
    <row r="49" spans="7:10" ht="15" customHeight="1" x14ac:dyDescent="0.25">
      <c r="G49" s="102" t="s">
        <v>273</v>
      </c>
      <c r="H49" s="102" t="s">
        <v>273</v>
      </c>
      <c r="J49" s="107"/>
    </row>
    <row r="50" spans="7:10" ht="15" customHeight="1" x14ac:dyDescent="0.25">
      <c r="G50" s="102" t="s">
        <v>277</v>
      </c>
      <c r="H50" s="102" t="s">
        <v>277</v>
      </c>
      <c r="J50" s="61"/>
    </row>
    <row r="51" spans="7:10" ht="15" customHeight="1" x14ac:dyDescent="0.25">
      <c r="G51" s="102" t="s">
        <v>281</v>
      </c>
      <c r="H51" s="102" t="s">
        <v>281</v>
      </c>
      <c r="J51" s="107"/>
    </row>
    <row r="52" spans="7:10" ht="15" customHeight="1" x14ac:dyDescent="0.25">
      <c r="G52" s="102" t="s">
        <v>284</v>
      </c>
      <c r="H52" s="102" t="s">
        <v>284</v>
      </c>
      <c r="J52" s="61"/>
    </row>
    <row r="53" spans="7:10" ht="15" customHeight="1" x14ac:dyDescent="0.25">
      <c r="G53" s="102" t="s">
        <v>287</v>
      </c>
      <c r="H53" s="102" t="s">
        <v>287</v>
      </c>
      <c r="J53" s="107"/>
    </row>
    <row r="54" spans="7:10" ht="15" customHeight="1" x14ac:dyDescent="0.25">
      <c r="G54" s="102" t="s">
        <v>291</v>
      </c>
      <c r="H54" s="102" t="s">
        <v>291</v>
      </c>
      <c r="J54" s="61"/>
    </row>
    <row r="55" spans="7:10" ht="15" customHeight="1" x14ac:dyDescent="0.25">
      <c r="G55" s="102" t="s">
        <v>292</v>
      </c>
      <c r="H55" s="102" t="s">
        <v>292</v>
      </c>
      <c r="J55" s="107"/>
    </row>
    <row r="56" spans="7:10" ht="15" customHeight="1" x14ac:dyDescent="0.25">
      <c r="G56" s="102" t="s">
        <v>294</v>
      </c>
      <c r="H56" s="102" t="s">
        <v>294</v>
      </c>
      <c r="J56" s="61"/>
    </row>
    <row r="57" spans="7:10" ht="15" customHeight="1" x14ac:dyDescent="0.25">
      <c r="G57" s="102" t="s">
        <v>297</v>
      </c>
      <c r="H57" s="102" t="s">
        <v>297</v>
      </c>
      <c r="J57" s="107"/>
    </row>
    <row r="58" spans="7:10" ht="15" customHeight="1" x14ac:dyDescent="0.25">
      <c r="G58" s="102"/>
      <c r="H58" s="107"/>
      <c r="J58" s="61"/>
    </row>
    <row r="59" spans="7:10" ht="15" customHeight="1" x14ac:dyDescent="0.25">
      <c r="G59" s="102"/>
      <c r="H59" s="61"/>
    </row>
    <row r="60" spans="7:10" ht="15" customHeight="1" x14ac:dyDescent="0.25">
      <c r="G60" s="102"/>
      <c r="H60" s="107"/>
    </row>
    <row r="61" spans="7:10" ht="15" customHeight="1" x14ac:dyDescent="0.25">
      <c r="G61" s="102"/>
      <c r="H61" s="61"/>
    </row>
    <row r="62" spans="7:10" ht="15" customHeight="1" x14ac:dyDescent="0.25">
      <c r="G62" s="102"/>
      <c r="H62" s="4"/>
    </row>
    <row r="63" spans="7:10" ht="15" customHeight="1" x14ac:dyDescent="0.25">
      <c r="G63" s="102"/>
      <c r="H63" s="4"/>
    </row>
    <row r="64" spans="7:10" ht="15" customHeight="1" x14ac:dyDescent="0.25">
      <c r="G64" s="102"/>
      <c r="H64" s="2"/>
    </row>
    <row r="65" spans="7:8" ht="15" customHeight="1" x14ac:dyDescent="0.25">
      <c r="G65" s="102"/>
      <c r="H65" s="4"/>
    </row>
    <row r="66" spans="7:8" ht="15" customHeight="1" x14ac:dyDescent="0.25">
      <c r="G66" s="102"/>
      <c r="H66" s="2"/>
    </row>
    <row r="67" spans="7:8" ht="15" customHeight="1" x14ac:dyDescent="0.25">
      <c r="G67" s="102"/>
      <c r="H67" s="4"/>
    </row>
    <row r="68" spans="7:8" ht="15" customHeight="1" x14ac:dyDescent="0.25">
      <c r="G68" s="102"/>
      <c r="H68" s="2"/>
    </row>
    <row r="69" spans="7:8" ht="15" customHeight="1" x14ac:dyDescent="0.25">
      <c r="G69" s="102"/>
      <c r="H69" s="4"/>
    </row>
    <row r="70" spans="7:8" ht="15" customHeight="1" x14ac:dyDescent="0.25">
      <c r="G70" s="102"/>
      <c r="H70" s="2"/>
    </row>
    <row r="71" spans="7:8" ht="15" customHeight="1" x14ac:dyDescent="0.25">
      <c r="G71" s="102"/>
      <c r="H71" s="4"/>
    </row>
    <row r="72" spans="7:8" ht="15" customHeight="1" x14ac:dyDescent="0.25">
      <c r="G72" s="102"/>
      <c r="H72" s="2"/>
    </row>
    <row r="73" spans="7:8" ht="15" customHeight="1" x14ac:dyDescent="0.25">
      <c r="G73" s="102"/>
      <c r="H73" s="4"/>
    </row>
    <row r="74" spans="7:8" ht="15" customHeight="1" x14ac:dyDescent="0.25">
      <c r="G74" s="102"/>
      <c r="H74" s="2"/>
    </row>
    <row r="75" spans="7:8" ht="15" customHeight="1" x14ac:dyDescent="0.25">
      <c r="G75" s="102"/>
      <c r="H75" s="4"/>
    </row>
    <row r="76" spans="7:8" ht="15" customHeight="1" x14ac:dyDescent="0.25">
      <c r="G76" s="102"/>
      <c r="H76" s="2"/>
    </row>
    <row r="77" spans="7:8" ht="15" customHeight="1" x14ac:dyDescent="0.25">
      <c r="G77" s="102"/>
      <c r="H77" s="4"/>
    </row>
    <row r="78" spans="7:8" ht="15" customHeight="1" x14ac:dyDescent="0.25">
      <c r="G78" s="102"/>
      <c r="H78" s="2"/>
    </row>
    <row r="79" spans="7:8" ht="15" customHeight="1" x14ac:dyDescent="0.25">
      <c r="G79" s="102"/>
      <c r="H79" s="4"/>
    </row>
    <row r="80" spans="7:8" ht="15" customHeight="1" x14ac:dyDescent="0.25">
      <c r="G80" s="102"/>
      <c r="H80" s="2"/>
    </row>
    <row r="81" spans="7:8" ht="15" customHeight="1" x14ac:dyDescent="0.25">
      <c r="G81" s="102"/>
      <c r="H81" s="4"/>
    </row>
    <row r="82" spans="7:8" ht="15" customHeight="1" x14ac:dyDescent="0.25">
      <c r="G82" s="102"/>
    </row>
    <row r="83" spans="7:8" ht="15" customHeight="1" x14ac:dyDescent="0.25">
      <c r="G83" s="102"/>
    </row>
  </sheetData>
  <protectedRanges>
    <protectedRange sqref="H2:H3" name="Range15_1"/>
    <protectedRange sqref="H2:H3" name="Trade List_1"/>
    <protectedRange sqref="J5:J6 J8:J9 J48:J58 H4:H14 H51:H61" name="Range15_1_1"/>
    <protectedRange sqref="J5:J6 J8:J9 J48:J58 H4:H14 H51:H61" name="Trade List_1_1"/>
    <protectedRange sqref="J7" name="Range15_2_2"/>
    <protectedRange sqref="J7" name="Trade List_2_2"/>
  </protectedRanges>
  <customSheetViews>
    <customSheetView guid="{923E1608-992F-4A46-BF6A-F2A437F78FBE}" topLeftCell="A87">
      <selection activeCell="M125" sqref="A2:M125"/>
      <pageMargins left="0.7" right="0.7" top="0.75" bottom="0.75" header="0.3" footer="0.3"/>
    </customSheetView>
    <customSheetView guid="{639E89E1-617D-4911-BF17-D7BEC20C5C85}" topLeftCell="A13">
      <selection activeCell="D29" sqref="D29"/>
      <pageMargins left="0.7" right="0.7" top="0.75" bottom="0.75" header="0.3" footer="0.3"/>
    </customSheetView>
    <customSheetView guid="{A034CC65-DD99-41D0-9D0E-72666CEF43E7}" topLeftCell="A46">
      <selection activeCell="D106" sqref="D106:D10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AP4"/>
  <sheetViews>
    <sheetView workbookViewId="0">
      <selection activeCell="O2" sqref="O2"/>
    </sheetView>
  </sheetViews>
  <sheetFormatPr defaultRowHeight="15" x14ac:dyDescent="0.25"/>
  <cols>
    <col min="3" max="3" width="15.28515625" bestFit="1" customWidth="1"/>
    <col min="4" max="4" width="15.28515625" customWidth="1"/>
    <col min="5" max="5" width="15.28515625" bestFit="1" customWidth="1"/>
    <col min="6" max="6" width="15.28515625" customWidth="1"/>
    <col min="7" max="7" width="15.28515625" bestFit="1" customWidth="1"/>
    <col min="8" max="8" width="15.28515625" customWidth="1"/>
    <col min="9" max="9" width="15.28515625" bestFit="1" customWidth="1"/>
    <col min="11" max="11" width="15.28515625" bestFit="1" customWidth="1"/>
    <col min="13" max="13" width="15.28515625" bestFit="1" customWidth="1"/>
    <col min="15" max="15" width="15.28515625" bestFit="1" customWidth="1"/>
    <col min="17" max="17" width="15.28515625" bestFit="1" customWidth="1"/>
    <col min="19" max="19" width="15.28515625" bestFit="1" customWidth="1"/>
    <col min="21" max="21" width="15.28515625" bestFit="1" customWidth="1"/>
    <col min="23" max="23" width="15.28515625" bestFit="1" customWidth="1"/>
    <col min="25" max="25" width="15.28515625" bestFit="1" customWidth="1"/>
    <col min="27" max="27" width="15.28515625" bestFit="1" customWidth="1"/>
    <col min="29" max="29" width="15.28515625" bestFit="1" customWidth="1"/>
    <col min="31" max="31" width="15.28515625" bestFit="1" customWidth="1"/>
    <col min="33" max="33" width="15.28515625" bestFit="1" customWidth="1"/>
    <col min="35" max="35" width="15.28515625" bestFit="1" customWidth="1"/>
    <col min="37" max="37" width="15.28515625" bestFit="1" customWidth="1"/>
  </cols>
  <sheetData>
    <row r="1" spans="3:42" ht="16.5" thickTop="1" thickBot="1" x14ac:dyDescent="0.3">
      <c r="C1" s="280">
        <f>Cashflow!I9</f>
        <v>44804</v>
      </c>
      <c r="D1" s="281"/>
      <c r="E1" s="280">
        <f>Cashflow!K9</f>
        <v>44834</v>
      </c>
      <c r="F1" s="281"/>
      <c r="G1" s="280">
        <f>Cashflow!M9</f>
        <v>44865</v>
      </c>
      <c r="H1" s="281"/>
      <c r="I1" s="280">
        <f>Cashflow!O9</f>
        <v>44895</v>
      </c>
      <c r="J1" s="281"/>
      <c r="K1" s="280">
        <f>Cashflow!Q9</f>
        <v>44926</v>
      </c>
      <c r="L1" s="281"/>
      <c r="M1" s="280">
        <f>Cashflow!S9</f>
        <v>44957</v>
      </c>
      <c r="N1" s="281"/>
      <c r="O1" s="280">
        <f>Cashflow!U9</f>
        <v>44985</v>
      </c>
      <c r="P1" s="281"/>
      <c r="Q1" s="280">
        <f>Cashflow!W9</f>
        <v>45016</v>
      </c>
      <c r="R1" s="281"/>
      <c r="S1" s="280">
        <f>Cashflow!Y9</f>
        <v>45046</v>
      </c>
      <c r="T1" s="281"/>
      <c r="U1" s="280">
        <f>Cashflow!AA9</f>
        <v>45077</v>
      </c>
      <c r="V1" s="281"/>
      <c r="W1" s="280">
        <f>Cashflow!AC9</f>
        <v>45107</v>
      </c>
      <c r="X1" s="281"/>
      <c r="Y1" s="280">
        <f>Cashflow!AE9</f>
        <v>45138</v>
      </c>
      <c r="Z1" s="281"/>
      <c r="AA1" s="280">
        <f>Cashflow!AG9</f>
        <v>45169</v>
      </c>
      <c r="AB1" s="281"/>
      <c r="AC1" s="280">
        <f>Cashflow!AI9</f>
        <v>45199</v>
      </c>
      <c r="AD1" s="281"/>
      <c r="AE1" s="280">
        <f>Cashflow!AK9</f>
        <v>45230</v>
      </c>
      <c r="AF1" s="281"/>
      <c r="AG1" s="280">
        <f>Cashflow!AM9</f>
        <v>45260</v>
      </c>
      <c r="AH1" s="281"/>
      <c r="AI1" s="280">
        <f>Cashflow!AO9</f>
        <v>0</v>
      </c>
      <c r="AJ1" s="281"/>
      <c r="AK1" s="280">
        <f>Cashflow!AQ9</f>
        <v>0</v>
      </c>
      <c r="AL1" s="281"/>
      <c r="AM1" s="280">
        <f>Cashflow!AS9</f>
        <v>0</v>
      </c>
      <c r="AN1" s="281"/>
      <c r="AO1" s="280">
        <f>Cashflow!AU9</f>
        <v>0</v>
      </c>
      <c r="AP1" s="281"/>
    </row>
    <row r="2" spans="3:42" x14ac:dyDescent="0.25">
      <c r="C2" s="256">
        <f>SUM(Cashflow!J18:J60)+Cashflow!J13+Cashflow!J15+Cashflow!J16+SUM(Cashflow!J62:J68)</f>
        <v>2318402.86</v>
      </c>
      <c r="D2" s="256"/>
      <c r="E2" s="256">
        <f>SUM(Cashflow!L18:L60)+Cashflow!L13+Cashflow!L15+Cashflow!L16+SUM(Cashflow!L62:L68)</f>
        <v>3527794.4000000008</v>
      </c>
      <c r="F2" s="256"/>
      <c r="G2" s="256">
        <f>SUM(Cashflow!N18:N60)+Cashflow!N13+Cashflow!N15+Cashflow!N16+SUM(Cashflow!N62:N68)</f>
        <v>5282712.67</v>
      </c>
      <c r="H2" s="256"/>
      <c r="I2" s="256">
        <f>SUM(Cashflow!P18:P60)+Cashflow!P13+Cashflow!P15+Cashflow!P16+SUM(Cashflow!P62:P68)</f>
        <v>6720142.4200000009</v>
      </c>
      <c r="J2" s="256"/>
      <c r="K2" s="256">
        <f>SUM(Cashflow!R18:R60)+Cashflow!R13+Cashflow!R15+Cashflow!R16+SUM(Cashflow!R62:R68)</f>
        <v>7780524.04</v>
      </c>
      <c r="L2" s="256"/>
      <c r="M2" s="256">
        <f>SUM(Cashflow!T18:T60)+Cashflow!T13+Cashflow!T15+Cashflow!T16+SUM(Cashflow!T62:T68)</f>
        <v>9748456.1000000015</v>
      </c>
      <c r="N2" s="256"/>
      <c r="O2" s="256">
        <f>SUM(Cashflow!V18:V60)+Cashflow!V13+Cashflow!V15+Cashflow!V16+SUM(Cashflow!V62:V68)</f>
        <v>12370766.170000002</v>
      </c>
      <c r="P2" s="256"/>
      <c r="Q2" s="256">
        <f>SUM(Cashflow!X18:X60)+Cashflow!X13+Cashflow!X15+Cashflow!X16+SUM(Cashflow!X62:X68)</f>
        <v>15156999.459999999</v>
      </c>
      <c r="R2" s="256"/>
      <c r="S2" s="256">
        <f>SUM(Cashflow!Z18:Z60)+Cashflow!Z13+Cashflow!Z15+Cashflow!Z16+SUM(Cashflow!Z62:Z68)</f>
        <v>18206480.270000003</v>
      </c>
      <c r="T2" s="256"/>
      <c r="U2" s="256">
        <f>SUM(Cashflow!AB18:AB60)+Cashflow!AB13+Cashflow!AB15+Cashflow!AB16+SUM(Cashflow!AB62:AB68)</f>
        <v>21206921.524299994</v>
      </c>
      <c r="V2" s="256"/>
      <c r="W2" s="256">
        <f>SUM(Cashflow!AD18:AD60)+Cashflow!AD13+Cashflow!AD15+Cashflow!AD16+SUM(Cashflow!AD62:AD68)</f>
        <v>24130909.704600003</v>
      </c>
      <c r="X2" s="256"/>
      <c r="Y2" s="256">
        <f>SUM(Cashflow!AF18:AF60)+Cashflow!AF13+Cashflow!AF15+Cashflow!AF16+SUM(Cashflow!AF62:AF68)</f>
        <v>26790890.102600001</v>
      </c>
      <c r="Z2" s="256"/>
      <c r="AA2" s="256">
        <f>SUM(Cashflow!AH18:AH60)+Cashflow!AH13+Cashflow!AH15+Cashflow!AH16+SUM(Cashflow!AH62:AH68)</f>
        <v>29123408.612500004</v>
      </c>
      <c r="AB2" s="256"/>
      <c r="AC2" s="256">
        <f>SUM(Cashflow!AJ18:AJ60)+Cashflow!AJ13+Cashflow!AJ15+Cashflow!AJ16+SUM(Cashflow!AJ62:AJ68)</f>
        <v>30529139.349999998</v>
      </c>
      <c r="AD2" s="256"/>
      <c r="AE2" s="256">
        <f>SUM(Cashflow!AL18:AL60)+Cashflow!AL13+Cashflow!AL15+Cashflow!AL16+SUM(Cashflow!AL62:AL68)</f>
        <v>31159000</v>
      </c>
      <c r="AF2" s="256"/>
      <c r="AG2" s="256">
        <f>SUM(Cashflow!AN18:AN60)+Cashflow!AN13+Cashflow!AN15+Cashflow!AN16+SUM(Cashflow!AN62:AN68)</f>
        <v>31159000</v>
      </c>
      <c r="AH2" s="256"/>
      <c r="AI2" s="256">
        <f>SUM(Cashflow!AP18:AP60)+Cashflow!AP13+Cashflow!AP15+Cashflow!AP16+SUM(Cashflow!AP62:AP68)</f>
        <v>0</v>
      </c>
      <c r="AJ2" s="256"/>
      <c r="AK2" s="256">
        <f>SUM(Cashflow!AR18:AR60)+Cashflow!AR13+Cashflow!AR15+Cashflow!AR16+SUM(Cashflow!AR62:AR68)</f>
        <v>0</v>
      </c>
    </row>
    <row r="3" spans="3:42" x14ac:dyDescent="0.25">
      <c r="C3" s="256">
        <f>Cashflow!C78-Cashflow!C70</f>
        <v>31569185.469999999</v>
      </c>
      <c r="D3" s="256"/>
      <c r="E3" s="258">
        <f>C3</f>
        <v>31569185.469999999</v>
      </c>
      <c r="F3" s="258"/>
      <c r="G3" s="258">
        <f>E3</f>
        <v>31569185.469999999</v>
      </c>
      <c r="H3" s="258"/>
      <c r="I3" s="258">
        <f>G3</f>
        <v>31569185.469999999</v>
      </c>
      <c r="J3" s="258"/>
      <c r="K3" s="258">
        <f>I3</f>
        <v>31569185.469999999</v>
      </c>
      <c r="L3" s="258"/>
      <c r="M3" s="258">
        <f>K3</f>
        <v>31569185.469999999</v>
      </c>
      <c r="N3" s="258"/>
      <c r="O3" s="258">
        <f>M3</f>
        <v>31569185.469999999</v>
      </c>
      <c r="P3" s="258"/>
      <c r="Q3" s="258">
        <f>O3</f>
        <v>31569185.469999999</v>
      </c>
      <c r="R3" s="258"/>
      <c r="S3" s="258">
        <f>Q3</f>
        <v>31569185.469999999</v>
      </c>
      <c r="T3" s="258"/>
      <c r="U3" s="258">
        <f>S3</f>
        <v>31569185.469999999</v>
      </c>
      <c r="V3" s="258"/>
      <c r="W3" s="258">
        <f>U3</f>
        <v>31569185.469999999</v>
      </c>
      <c r="X3" s="258"/>
      <c r="Y3" s="258">
        <f>W3</f>
        <v>31569185.469999999</v>
      </c>
      <c r="Z3" s="258"/>
      <c r="AA3" s="258">
        <f>Y3</f>
        <v>31569185.469999999</v>
      </c>
      <c r="AB3" s="258"/>
      <c r="AC3" s="258">
        <f>AA3</f>
        <v>31569185.469999999</v>
      </c>
      <c r="AD3" s="258"/>
      <c r="AE3" s="258">
        <f>AC3</f>
        <v>31569185.469999999</v>
      </c>
      <c r="AF3" s="258"/>
      <c r="AG3" s="258">
        <f>AE3</f>
        <v>31569185.469999999</v>
      </c>
      <c r="AH3" s="258"/>
      <c r="AI3" s="258">
        <f>AG3</f>
        <v>31569185.469999999</v>
      </c>
      <c r="AJ3" s="258"/>
      <c r="AK3" s="258">
        <f>AI3</f>
        <v>31569185.469999999</v>
      </c>
    </row>
    <row r="4" spans="3:42" x14ac:dyDescent="0.25">
      <c r="C4" s="257">
        <f>C2/C3</f>
        <v>7.3438792464353059E-2</v>
      </c>
      <c r="D4" s="257"/>
      <c r="E4" s="257">
        <f t="shared" ref="E4:AK4" si="0">E2/E3</f>
        <v>0.11174803364351742</v>
      </c>
      <c r="F4" s="257"/>
      <c r="G4" s="257">
        <f t="shared" si="0"/>
        <v>0.16733762975988498</v>
      </c>
      <c r="H4" s="257"/>
      <c r="I4" s="257">
        <f t="shared" si="0"/>
        <v>0.21287031388206423</v>
      </c>
      <c r="J4" s="257"/>
      <c r="K4" s="257">
        <f t="shared" si="0"/>
        <v>0.2464594484831984</v>
      </c>
      <c r="L4" s="257"/>
      <c r="M4" s="257">
        <f t="shared" si="0"/>
        <v>0.30879656712283243</v>
      </c>
      <c r="N4" s="257"/>
      <c r="O4" s="257">
        <f t="shared" si="0"/>
        <v>0.39186206377595217</v>
      </c>
      <c r="P4" s="257"/>
      <c r="Q4" s="257">
        <f t="shared" si="0"/>
        <v>0.48012006753875869</v>
      </c>
      <c r="R4" s="257"/>
      <c r="S4" s="257">
        <f t="shared" si="0"/>
        <v>0.57671682049894857</v>
      </c>
      <c r="T4" s="257"/>
      <c r="U4" s="257">
        <f t="shared" si="0"/>
        <v>0.67176017399792598</v>
      </c>
      <c r="V4" s="257"/>
      <c r="W4" s="257">
        <f t="shared" si="0"/>
        <v>0.76438176485520848</v>
      </c>
      <c r="X4" s="257"/>
      <c r="Y4" s="257">
        <f t="shared" si="0"/>
        <v>0.84864052409775403</v>
      </c>
      <c r="Z4" s="257"/>
      <c r="AA4" s="257">
        <f t="shared" si="0"/>
        <v>0.9225264503633076</v>
      </c>
      <c r="AB4" s="257"/>
      <c r="AC4" s="257">
        <f t="shared" si="0"/>
        <v>0.96705502202493154</v>
      </c>
      <c r="AD4" s="257"/>
      <c r="AE4" s="257">
        <f t="shared" si="0"/>
        <v>0.98700677689673699</v>
      </c>
      <c r="AF4" s="257"/>
      <c r="AG4" s="257">
        <f t="shared" si="0"/>
        <v>0.98700677689673699</v>
      </c>
      <c r="AH4" s="257"/>
      <c r="AI4" s="257">
        <f t="shared" si="0"/>
        <v>0</v>
      </c>
      <c r="AJ4" s="257"/>
      <c r="AK4" s="257">
        <f t="shared" si="0"/>
        <v>0</v>
      </c>
    </row>
  </sheetData>
  <mergeCells count="20">
    <mergeCell ref="Y1:Z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AM1:AN1"/>
    <mergeCell ref="AO1:AP1"/>
    <mergeCell ref="AA1:AB1"/>
    <mergeCell ref="AC1:AD1"/>
    <mergeCell ref="AE1:AF1"/>
    <mergeCell ref="AG1:AH1"/>
    <mergeCell ref="AI1:AJ1"/>
    <mergeCell ref="AK1:A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Cashflow</vt:lpstr>
      <vt:lpstr>Accrual</vt:lpstr>
      <vt:lpstr>Charts</vt:lpstr>
      <vt:lpstr>Info</vt:lpstr>
      <vt:lpstr>Breakup</vt:lpstr>
      <vt:lpstr>Margin Calculation</vt:lpstr>
      <vt:lpstr>Accrual!Print_Titles</vt:lpstr>
      <vt:lpstr>Cashflow!Print_Titles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joris.eerkens;Emma Rettke</dc:creator>
  <cp:lastModifiedBy>Levi Carsburg</cp:lastModifiedBy>
  <cp:lastPrinted>2022-12-07T05:56:56Z</cp:lastPrinted>
  <dcterms:created xsi:type="dcterms:W3CDTF">2015-02-01T23:36:18Z</dcterms:created>
  <dcterms:modified xsi:type="dcterms:W3CDTF">2023-05-09T01:03:56Z</dcterms:modified>
</cp:coreProperties>
</file>