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20114 - Murgon SHS\7. Subcontractors\M - MATERIAL CALL UP\"/>
    </mc:Choice>
  </mc:AlternateContent>
  <bookViews>
    <workbookView xWindow="0" yWindow="0" windowWidth="28800" windowHeight="12435"/>
  </bookViews>
  <sheets>
    <sheet name="REO SUPPLY SUMMARY" sheetId="3" r:id="rId1"/>
    <sheet name="REO SUPPLY SUMMARY (2)" sheetId="6" r:id="rId2"/>
    <sheet name="REO SUPPLY ENTRY" sheetId="5" r:id="rId3"/>
    <sheet name="STEEL DOCKET ENTRY" sheetId="4" r:id="rId4"/>
  </sheets>
  <definedNames>
    <definedName name="_xlnm._FilterDatabase" localSheetId="2" hidden="1">'REO SUPPLY ENTRY'!$A$5:$U$92</definedName>
    <definedName name="_xlnm._FilterDatabase" localSheetId="0" hidden="1">'REO SUPPLY SUMMARY'!$A$4:$R$68</definedName>
    <definedName name="_xlnm._FilterDatabase" localSheetId="1" hidden="1">'REO SUPPLY SUMMARY (2)'!$A$4:$L$10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4" l="1"/>
  <c r="G49" i="3"/>
  <c r="L49" i="3"/>
  <c r="R49" i="3" s="1"/>
  <c r="M49" i="3"/>
  <c r="N49" i="3" s="1"/>
  <c r="O49" i="3"/>
  <c r="M53" i="3"/>
  <c r="N53" i="3" s="1"/>
  <c r="O53" i="3"/>
  <c r="G53" i="3"/>
  <c r="L53" i="3"/>
  <c r="G50" i="3"/>
  <c r="G51" i="3"/>
  <c r="G52" i="3"/>
  <c r="L50" i="3"/>
  <c r="M50" i="3"/>
  <c r="N50" i="3" s="1"/>
  <c r="O50" i="3"/>
  <c r="L51" i="3"/>
  <c r="M51" i="3"/>
  <c r="N51" i="3" s="1"/>
  <c r="O51" i="3"/>
  <c r="L52" i="3"/>
  <c r="M52" i="3"/>
  <c r="N52" i="3" s="1"/>
  <c r="O52" i="3"/>
  <c r="AC7" i="4"/>
  <c r="R52" i="4"/>
  <c r="P52" i="3" l="1"/>
  <c r="P49" i="3"/>
  <c r="R50" i="3"/>
  <c r="R51" i="3"/>
  <c r="P50" i="3"/>
  <c r="P51" i="3"/>
  <c r="R52" i="3"/>
  <c r="N52" i="4" l="1"/>
  <c r="M48" i="3"/>
  <c r="D14" i="3"/>
  <c r="G14" i="3" s="1"/>
  <c r="G13" i="3"/>
  <c r="D12" i="3"/>
  <c r="G12" i="3" s="1"/>
  <c r="D11" i="3"/>
  <c r="G11" i="3" s="1"/>
  <c r="D23" i="3"/>
  <c r="G23" i="3" s="1"/>
  <c r="G22" i="3"/>
  <c r="D21" i="3"/>
  <c r="M21" i="3" s="1"/>
  <c r="N21" i="3" s="1"/>
  <c r="D20" i="3"/>
  <c r="G20" i="3" s="1"/>
  <c r="D32" i="3"/>
  <c r="G32" i="3" s="1"/>
  <c r="G31" i="3"/>
  <c r="D30" i="3"/>
  <c r="G30" i="3" s="1"/>
  <c r="G29" i="3"/>
  <c r="D40" i="3"/>
  <c r="G40" i="3" s="1"/>
  <c r="G39" i="3"/>
  <c r="D38" i="3"/>
  <c r="G38" i="3" s="1"/>
  <c r="D45" i="3"/>
  <c r="O45" i="3" s="1"/>
  <c r="G44" i="3"/>
  <c r="L8" i="6"/>
  <c r="Q41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S57" i="5" s="1"/>
  <c r="Q58" i="5"/>
  <c r="Q59" i="5"/>
  <c r="Q60" i="5"/>
  <c r="S60" i="5" s="1"/>
  <c r="Q42" i="5"/>
  <c r="Q7" i="5"/>
  <c r="G55" i="5"/>
  <c r="G56" i="5"/>
  <c r="G57" i="5"/>
  <c r="G58" i="5"/>
  <c r="D58" i="5"/>
  <c r="D57" i="5"/>
  <c r="R57" i="5" s="1"/>
  <c r="L93" i="5"/>
  <c r="L6" i="6"/>
  <c r="L10" i="6"/>
  <c r="D56" i="5"/>
  <c r="D55" i="5"/>
  <c r="R55" i="5" s="1"/>
  <c r="R42" i="5"/>
  <c r="R43" i="5"/>
  <c r="R44" i="5"/>
  <c r="R46" i="5"/>
  <c r="R47" i="5"/>
  <c r="R48" i="5"/>
  <c r="R49" i="5"/>
  <c r="R50" i="5"/>
  <c r="R52" i="5"/>
  <c r="R53" i="5"/>
  <c r="R54" i="5"/>
  <c r="R56" i="5"/>
  <c r="R58" i="5"/>
  <c r="R59" i="5"/>
  <c r="R60" i="5"/>
  <c r="R41" i="5"/>
  <c r="S43" i="5"/>
  <c r="G54" i="5"/>
  <c r="G53" i="5"/>
  <c r="S53" i="5" s="1"/>
  <c r="G52" i="5"/>
  <c r="S52" i="5" s="1"/>
  <c r="D51" i="5"/>
  <c r="R51" i="5" s="1"/>
  <c r="K25" i="3"/>
  <c r="M25" i="3" s="1"/>
  <c r="N25" i="3" s="1"/>
  <c r="Q91" i="5"/>
  <c r="Q90" i="5"/>
  <c r="Q89" i="5"/>
  <c r="Q88" i="5"/>
  <c r="Q87" i="5"/>
  <c r="Q86" i="5"/>
  <c r="Q85" i="5"/>
  <c r="Q84" i="5"/>
  <c r="Q92" i="5" s="1"/>
  <c r="Q81" i="5"/>
  <c r="Q80" i="5"/>
  <c r="Q79" i="5"/>
  <c r="Q78" i="5"/>
  <c r="Q77" i="5"/>
  <c r="Q76" i="5"/>
  <c r="Q75" i="5"/>
  <c r="Q74" i="5"/>
  <c r="Q82" i="5" s="1"/>
  <c r="H10" i="6" s="1"/>
  <c r="Q71" i="5"/>
  <c r="Q70" i="5"/>
  <c r="Q69" i="5"/>
  <c r="Q68" i="5"/>
  <c r="Q67" i="5"/>
  <c r="Q66" i="5"/>
  <c r="Q72" i="5" s="1"/>
  <c r="H9" i="6" s="1"/>
  <c r="Q65" i="5"/>
  <c r="Q64" i="5"/>
  <c r="Q63" i="5"/>
  <c r="S59" i="5"/>
  <c r="S56" i="5"/>
  <c r="S55" i="5"/>
  <c r="Q38" i="5"/>
  <c r="Q37" i="5"/>
  <c r="Q36" i="5"/>
  <c r="Q35" i="5"/>
  <c r="Q34" i="5"/>
  <c r="Q33" i="5"/>
  <c r="Q32" i="5"/>
  <c r="Q31" i="5"/>
  <c r="Q30" i="5"/>
  <c r="Q29" i="5"/>
  <c r="Q39" i="5" s="1"/>
  <c r="H7" i="6" s="1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H6" i="6" s="1"/>
  <c r="I93" i="5"/>
  <c r="H93" i="5"/>
  <c r="G91" i="5"/>
  <c r="G90" i="5"/>
  <c r="G89" i="5"/>
  <c r="G88" i="5"/>
  <c r="D87" i="5"/>
  <c r="G86" i="5"/>
  <c r="G85" i="5"/>
  <c r="G84" i="5"/>
  <c r="G78" i="5"/>
  <c r="G77" i="5"/>
  <c r="G76" i="5"/>
  <c r="G75" i="5"/>
  <c r="G74" i="5"/>
  <c r="G82" i="5" s="1"/>
  <c r="D10" i="6" s="1"/>
  <c r="G68" i="5"/>
  <c r="G67" i="5"/>
  <c r="G66" i="5"/>
  <c r="G65" i="5"/>
  <c r="G64" i="5"/>
  <c r="G63" i="5"/>
  <c r="G72" i="5" s="1"/>
  <c r="D9" i="6" s="1"/>
  <c r="G50" i="5"/>
  <c r="G49" i="5"/>
  <c r="S49" i="5" s="1"/>
  <c r="G48" i="5"/>
  <c r="S48" i="5" s="1"/>
  <c r="G47" i="5"/>
  <c r="S47" i="5" s="1"/>
  <c r="G46" i="5"/>
  <c r="D45" i="5"/>
  <c r="R45" i="5" s="1"/>
  <c r="G44" i="5"/>
  <c r="S44" i="5" s="1"/>
  <c r="G42" i="5"/>
  <c r="G41" i="5"/>
  <c r="G34" i="5"/>
  <c r="G33" i="5"/>
  <c r="G32" i="5"/>
  <c r="G31" i="5"/>
  <c r="G30" i="5"/>
  <c r="G39" i="5" s="1"/>
  <c r="D7" i="6" s="1"/>
  <c r="I7" i="6" s="1"/>
  <c r="J7" i="6" s="1"/>
  <c r="G29" i="5"/>
  <c r="G26" i="5"/>
  <c r="D25" i="5"/>
  <c r="D24" i="5"/>
  <c r="G23" i="5"/>
  <c r="G22" i="5"/>
  <c r="G17" i="5"/>
  <c r="G16" i="5"/>
  <c r="G15" i="5"/>
  <c r="G14" i="5"/>
  <c r="G13" i="5"/>
  <c r="D12" i="5"/>
  <c r="G12" i="5" s="1"/>
  <c r="G11" i="5"/>
  <c r="G10" i="5"/>
  <c r="G9" i="5"/>
  <c r="G8" i="5"/>
  <c r="G7" i="5"/>
  <c r="L57" i="3"/>
  <c r="L56" i="3"/>
  <c r="L55" i="3"/>
  <c r="L54" i="3"/>
  <c r="L48" i="3"/>
  <c r="L46" i="3"/>
  <c r="L45" i="3"/>
  <c r="L44" i="3"/>
  <c r="L43" i="3"/>
  <c r="L42" i="3"/>
  <c r="L40" i="3"/>
  <c r="L39" i="3"/>
  <c r="L38" i="3"/>
  <c r="L37" i="3"/>
  <c r="L36" i="3"/>
  <c r="L34" i="3"/>
  <c r="L33" i="3"/>
  <c r="L32" i="3"/>
  <c r="L31" i="3"/>
  <c r="L30" i="3"/>
  <c r="L29" i="3"/>
  <c r="P29" i="3" s="1"/>
  <c r="L28" i="3"/>
  <c r="L27" i="3"/>
  <c r="L26" i="3"/>
  <c r="L23" i="3"/>
  <c r="L22" i="3"/>
  <c r="L21" i="3"/>
  <c r="L20" i="3"/>
  <c r="L19" i="3"/>
  <c r="L11" i="3"/>
  <c r="L12" i="3"/>
  <c r="L13" i="3"/>
  <c r="L14" i="3"/>
  <c r="L15" i="3"/>
  <c r="L16" i="3"/>
  <c r="L17" i="3"/>
  <c r="M19" i="3"/>
  <c r="N19" i="3" s="1"/>
  <c r="O19" i="3"/>
  <c r="M20" i="3"/>
  <c r="N20" i="3" s="1"/>
  <c r="O20" i="3"/>
  <c r="M22" i="3"/>
  <c r="N22" i="3" s="1"/>
  <c r="O22" i="3"/>
  <c r="M26" i="3"/>
  <c r="N26" i="3" s="1"/>
  <c r="O26" i="3"/>
  <c r="M28" i="3"/>
  <c r="N28" i="3" s="1"/>
  <c r="O28" i="3"/>
  <c r="M29" i="3"/>
  <c r="N29" i="3" s="1"/>
  <c r="O29" i="3"/>
  <c r="M30" i="3"/>
  <c r="N30" i="3" s="1"/>
  <c r="O30" i="3"/>
  <c r="M31" i="3"/>
  <c r="N31" i="3" s="1"/>
  <c r="O31" i="3"/>
  <c r="M33" i="3"/>
  <c r="N33" i="3" s="1"/>
  <c r="O33" i="3"/>
  <c r="M34" i="3"/>
  <c r="N34" i="3" s="1"/>
  <c r="O34" i="3"/>
  <c r="M36" i="3"/>
  <c r="N36" i="3" s="1"/>
  <c r="O36" i="3"/>
  <c r="M37" i="3"/>
  <c r="N37" i="3" s="1"/>
  <c r="O37" i="3"/>
  <c r="M38" i="3"/>
  <c r="N38" i="3" s="1"/>
  <c r="O38" i="3"/>
  <c r="M39" i="3"/>
  <c r="N39" i="3" s="1"/>
  <c r="O39" i="3"/>
  <c r="M42" i="3"/>
  <c r="N42" i="3" s="1"/>
  <c r="O42" i="3"/>
  <c r="M43" i="3"/>
  <c r="N43" i="3" s="1"/>
  <c r="O43" i="3"/>
  <c r="M44" i="3"/>
  <c r="N44" i="3" s="1"/>
  <c r="O44" i="3"/>
  <c r="N48" i="3"/>
  <c r="O48" i="3"/>
  <c r="M54" i="3"/>
  <c r="N54" i="3" s="1"/>
  <c r="O54" i="3"/>
  <c r="M55" i="3"/>
  <c r="N55" i="3" s="1"/>
  <c r="O55" i="3"/>
  <c r="M56" i="3"/>
  <c r="N56" i="3" s="1"/>
  <c r="O56" i="3"/>
  <c r="M57" i="3"/>
  <c r="N57" i="3" s="1"/>
  <c r="O57" i="3"/>
  <c r="O11" i="3"/>
  <c r="M12" i="3"/>
  <c r="N12" i="3" s="1"/>
  <c r="O12" i="3"/>
  <c r="M13" i="3"/>
  <c r="N13" i="3" s="1"/>
  <c r="O13" i="3"/>
  <c r="M15" i="3"/>
  <c r="N15" i="3" s="1"/>
  <c r="O15" i="3"/>
  <c r="G57" i="3"/>
  <c r="G56" i="3"/>
  <c r="G55" i="3"/>
  <c r="G54" i="3"/>
  <c r="O14" i="3" l="1"/>
  <c r="M40" i="3"/>
  <c r="N40" i="3" s="1"/>
  <c r="O23" i="3"/>
  <c r="M32" i="3"/>
  <c r="N32" i="3" s="1"/>
  <c r="M23" i="3"/>
  <c r="N23" i="3" s="1"/>
  <c r="P54" i="3"/>
  <c r="P31" i="3"/>
  <c r="R44" i="3"/>
  <c r="R57" i="3"/>
  <c r="M14" i="3"/>
  <c r="N14" i="3" s="1"/>
  <c r="M45" i="3"/>
  <c r="N45" i="3" s="1"/>
  <c r="R31" i="3"/>
  <c r="P13" i="3"/>
  <c r="O40" i="3"/>
  <c r="O32" i="3"/>
  <c r="P22" i="3"/>
  <c r="P57" i="3"/>
  <c r="R56" i="3"/>
  <c r="P39" i="3"/>
  <c r="I9" i="6"/>
  <c r="J9" i="6" s="1"/>
  <c r="P12" i="3"/>
  <c r="R12" i="3"/>
  <c r="R38" i="3"/>
  <c r="P38" i="3"/>
  <c r="R13" i="3"/>
  <c r="M11" i="3"/>
  <c r="N11" i="3" s="1"/>
  <c r="O21" i="3"/>
  <c r="P44" i="3"/>
  <c r="R54" i="3"/>
  <c r="G21" i="3"/>
  <c r="R21" i="3" s="1"/>
  <c r="P30" i="3"/>
  <c r="P11" i="3"/>
  <c r="R39" i="3"/>
  <c r="P55" i="3"/>
  <c r="P56" i="3"/>
  <c r="R20" i="3"/>
  <c r="R14" i="3"/>
  <c r="P14" i="3"/>
  <c r="R11" i="3"/>
  <c r="P23" i="3"/>
  <c r="R23" i="3"/>
  <c r="R22" i="3"/>
  <c r="P20" i="3"/>
  <c r="P32" i="3"/>
  <c r="R32" i="3"/>
  <c r="R30" i="3"/>
  <c r="R29" i="3"/>
  <c r="P40" i="3"/>
  <c r="R40" i="3"/>
  <c r="G45" i="3"/>
  <c r="D46" i="3"/>
  <c r="G46" i="3" s="1"/>
  <c r="S54" i="5"/>
  <c r="S58" i="5"/>
  <c r="S42" i="5"/>
  <c r="S46" i="5"/>
  <c r="S50" i="5"/>
  <c r="G92" i="5"/>
  <c r="I10" i="6"/>
  <c r="J10" i="6" s="1"/>
  <c r="S41" i="5"/>
  <c r="G51" i="5"/>
  <c r="S51" i="5" s="1"/>
  <c r="L9" i="6"/>
  <c r="L7" i="6"/>
  <c r="L25" i="3"/>
  <c r="O25" i="3"/>
  <c r="Q61" i="5"/>
  <c r="G45" i="5"/>
  <c r="S45" i="5" s="1"/>
  <c r="D93" i="5"/>
  <c r="G24" i="5"/>
  <c r="G27" i="5" s="1"/>
  <c r="G25" i="5"/>
  <c r="G87" i="5"/>
  <c r="R55" i="3"/>
  <c r="O46" i="3" l="1"/>
  <c r="M46" i="3"/>
  <c r="N46" i="3" s="1"/>
  <c r="P21" i="3"/>
  <c r="R46" i="3"/>
  <c r="P46" i="3"/>
  <c r="R45" i="3"/>
  <c r="P45" i="3"/>
  <c r="H8" i="6"/>
  <c r="H11" i="6" s="1"/>
  <c r="Q93" i="5"/>
  <c r="D6" i="6"/>
  <c r="G61" i="5"/>
  <c r="D8" i="6" s="1"/>
  <c r="I8" i="6" s="1"/>
  <c r="J8" i="6" s="1"/>
  <c r="G93" i="5" l="1"/>
  <c r="D11" i="6"/>
  <c r="I6" i="6"/>
  <c r="B12" i="6" l="1"/>
  <c r="B14" i="6"/>
  <c r="B13" i="6"/>
  <c r="J6" i="6"/>
  <c r="I11" i="6"/>
  <c r="B15" i="6" s="1"/>
  <c r="B16" i="6" l="1"/>
  <c r="G43" i="3" l="1"/>
  <c r="G42" i="3"/>
  <c r="G37" i="3"/>
  <c r="G36" i="3"/>
  <c r="G34" i="3"/>
  <c r="G33" i="3"/>
  <c r="G28" i="3"/>
  <c r="G26" i="3"/>
  <c r="G25" i="3"/>
  <c r="G27" i="3" l="1"/>
  <c r="M27" i="3"/>
  <c r="N27" i="3" s="1"/>
  <c r="O27" i="3"/>
  <c r="R37" i="3"/>
  <c r="P37" i="3"/>
  <c r="R25" i="3"/>
  <c r="P25" i="3"/>
  <c r="P28" i="3"/>
  <c r="R28" i="3"/>
  <c r="P43" i="3"/>
  <c r="R43" i="3"/>
  <c r="P34" i="3"/>
  <c r="R34" i="3"/>
  <c r="R33" i="3"/>
  <c r="P33" i="3"/>
  <c r="R42" i="3"/>
  <c r="P42" i="3"/>
  <c r="R26" i="3"/>
  <c r="P26" i="3"/>
  <c r="P36" i="3"/>
  <c r="R36" i="3"/>
  <c r="G19" i="3"/>
  <c r="D17" i="3"/>
  <c r="D16" i="3"/>
  <c r="G15" i="3"/>
  <c r="G10" i="3"/>
  <c r="G8" i="3"/>
  <c r="G7" i="3"/>
  <c r="G6" i="3"/>
  <c r="G16" i="3" l="1"/>
  <c r="M16" i="3"/>
  <c r="N16" i="3" s="1"/>
  <c r="O16" i="3"/>
  <c r="G17" i="3"/>
  <c r="M17" i="3"/>
  <c r="N17" i="3" s="1"/>
  <c r="O17" i="3"/>
  <c r="R19" i="3"/>
  <c r="P19" i="3"/>
  <c r="R15" i="3"/>
  <c r="P15" i="3"/>
  <c r="R27" i="3"/>
  <c r="P27" i="3"/>
  <c r="D69" i="3"/>
  <c r="G9" i="3"/>
  <c r="AC23" i="4"/>
  <c r="R16" i="3" l="1"/>
  <c r="P16" i="3"/>
  <c r="R17" i="3"/>
  <c r="P17" i="3"/>
  <c r="AB52" i="4"/>
  <c r="AA52" i="4"/>
  <c r="Z52" i="4"/>
  <c r="Y52" i="4"/>
  <c r="X52" i="4"/>
  <c r="W52" i="4"/>
  <c r="V52" i="4"/>
  <c r="U52" i="4"/>
  <c r="T52" i="4"/>
  <c r="S52" i="4"/>
  <c r="Q52" i="4"/>
  <c r="P52" i="4"/>
  <c r="O52" i="4"/>
  <c r="M52" i="4"/>
  <c r="L52" i="4"/>
  <c r="H52" i="4"/>
  <c r="G52" i="4"/>
  <c r="K6" i="3" s="1"/>
  <c r="AC24" i="4"/>
  <c r="R48" i="3" l="1"/>
  <c r="P48" i="3"/>
  <c r="G69" i="3"/>
  <c r="K7" i="3"/>
  <c r="K67" i="3"/>
  <c r="L67" i="3" s="1"/>
  <c r="K66" i="3"/>
  <c r="L66" i="3" s="1"/>
  <c r="L64" i="3"/>
  <c r="K9" i="3"/>
  <c r="M9" i="3" l="1"/>
  <c r="N9" i="3" s="1"/>
  <c r="O9" i="3"/>
  <c r="M7" i="3"/>
  <c r="N7" i="3" s="1"/>
  <c r="O7" i="3"/>
  <c r="L7" i="3"/>
  <c r="R7" i="3" l="1"/>
  <c r="P7" i="3"/>
  <c r="L62" i="3"/>
  <c r="K8" i="3"/>
  <c r="K65" i="3"/>
  <c r="L65" i="3" s="1"/>
  <c r="AQ27" i="4"/>
  <c r="AQ48" i="4"/>
  <c r="AQ25" i="4"/>
  <c r="AQ26" i="4"/>
  <c r="AQ30" i="4"/>
  <c r="AQ34" i="4"/>
  <c r="AQ38" i="4"/>
  <c r="AQ42" i="4"/>
  <c r="AQ46" i="4"/>
  <c r="AQ47" i="4"/>
  <c r="K52" i="4"/>
  <c r="L9" i="3"/>
  <c r="AL52" i="4"/>
  <c r="AD52" i="4"/>
  <c r="AE52" i="4"/>
  <c r="AF52" i="4"/>
  <c r="I52" i="4"/>
  <c r="J52" i="4"/>
  <c r="K10" i="3"/>
  <c r="L6" i="3"/>
  <c r="AQ49" i="4"/>
  <c r="H69" i="3"/>
  <c r="I69" i="3"/>
  <c r="R6" i="3" l="1"/>
  <c r="P6" i="3"/>
  <c r="R9" i="3"/>
  <c r="P9" i="3"/>
  <c r="O10" i="3"/>
  <c r="M10" i="3"/>
  <c r="N10" i="3" s="1"/>
  <c r="L10" i="3"/>
  <c r="M8" i="3"/>
  <c r="N8" i="3" s="1"/>
  <c r="O8" i="3"/>
  <c r="AQ24" i="4"/>
  <c r="AQ37" i="4"/>
  <c r="AP52" i="4"/>
  <c r="AT52" i="4" s="1"/>
  <c r="AQ23" i="4"/>
  <c r="AK52" i="4"/>
  <c r="AQ44" i="4"/>
  <c r="AQ40" i="4"/>
  <c r="AQ28" i="4"/>
  <c r="AQ32" i="4"/>
  <c r="AQ36" i="4"/>
  <c r="AQ45" i="4"/>
  <c r="AQ29" i="4"/>
  <c r="AQ41" i="4"/>
  <c r="AQ33" i="4"/>
  <c r="AQ7" i="4"/>
  <c r="AQ43" i="4"/>
  <c r="AQ39" i="4"/>
  <c r="AQ35" i="4"/>
  <c r="AQ31" i="4"/>
  <c r="AJ52" i="4"/>
  <c r="O62" i="3"/>
  <c r="R62" i="3"/>
  <c r="M62" i="3"/>
  <c r="N62" i="3" s="1"/>
  <c r="P62" i="3"/>
  <c r="P10" i="3" l="1"/>
  <c r="R10" i="3"/>
  <c r="AG52" i="4"/>
  <c r="AC52" i="4"/>
  <c r="AI52" i="4"/>
  <c r="O6" i="3"/>
  <c r="M6" i="3"/>
  <c r="N6" i="3" s="1"/>
  <c r="AM52" i="4"/>
  <c r="L8" i="3"/>
  <c r="L71" i="3" l="1"/>
  <c r="L95" i="5"/>
  <c r="U95" i="5" s="1"/>
  <c r="R8" i="3"/>
  <c r="P8" i="3"/>
  <c r="L69" i="3"/>
  <c r="M69" i="3"/>
  <c r="N69" i="3"/>
  <c r="O69" i="3"/>
  <c r="R69" i="3" l="1"/>
  <c r="P69" i="3"/>
</calcChain>
</file>

<file path=xl/comments1.xml><?xml version="1.0" encoding="utf-8"?>
<comments xmlns="http://schemas.openxmlformats.org/spreadsheetml/2006/main">
  <authors>
    <author>Levi Carsburg</author>
    <author>Tania Keenan</author>
  </authors>
  <commentList>
    <comment ref="T3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2 types this height is $71.30</t>
        </r>
      </text>
    </comment>
    <comment ref="U3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2 types $78.53 this height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SAFETY CAPS</t>
        </r>
      </text>
    </comment>
    <comment ref="AA48" authorId="1" shapeId="0">
      <text>
        <r>
          <rPr>
            <b/>
            <sz val="9"/>
            <color indexed="81"/>
            <rFont val="Tahoma"/>
            <family val="2"/>
          </rPr>
          <t>Tania Keenan:</t>
        </r>
        <r>
          <rPr>
            <sz val="9"/>
            <color indexed="81"/>
            <rFont val="Tahoma"/>
            <family val="2"/>
          </rPr>
          <t xml:space="preserve">
Key joint
</t>
        </r>
      </text>
    </comment>
    <comment ref="W49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diamond dowell 12.47 each</t>
        </r>
      </text>
    </comment>
    <comment ref="AA49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65.05 grey tape 345.56 black plastic</t>
        </r>
      </text>
    </comment>
  </commentList>
</comments>
</file>

<file path=xl/sharedStrings.xml><?xml version="1.0" encoding="utf-8"?>
<sst xmlns="http://schemas.openxmlformats.org/spreadsheetml/2006/main" count="488" uniqueCount="145">
  <si>
    <t>ACTUALS</t>
  </si>
  <si>
    <t>TYPE</t>
  </si>
  <si>
    <t>AREA</t>
  </si>
  <si>
    <t>QTY</t>
  </si>
  <si>
    <t>UNIT</t>
  </si>
  <si>
    <t>tonne</t>
  </si>
  <si>
    <t>REO SUPPLY: MCU Sheet</t>
  </si>
  <si>
    <t>COST $</t>
  </si>
  <si>
    <t>TOTAL</t>
  </si>
  <si>
    <t>rolls</t>
  </si>
  <si>
    <t>Delivery Date</t>
  </si>
  <si>
    <t>Schedule No</t>
  </si>
  <si>
    <t>I.D No.</t>
  </si>
  <si>
    <t>Qty (t)</t>
  </si>
  <si>
    <t>Total Cost</t>
  </si>
  <si>
    <t>Inv. Number</t>
  </si>
  <si>
    <t>Zone</t>
  </si>
  <si>
    <t>columns</t>
  </si>
  <si>
    <t>mesh</t>
  </si>
  <si>
    <t>L12TM4</t>
  </si>
  <si>
    <t>L11TM3</t>
  </si>
  <si>
    <t>stairs/each landing</t>
  </si>
  <si>
    <t>INV</t>
  </si>
  <si>
    <t>Total</t>
  </si>
  <si>
    <t xml:space="preserve">Inv total </t>
  </si>
  <si>
    <t>INV Date</t>
  </si>
  <si>
    <t>Reo Fix MCU</t>
  </si>
  <si>
    <t>Dels</t>
  </si>
  <si>
    <t>INV Cost.</t>
  </si>
  <si>
    <t>var</t>
  </si>
  <si>
    <t>Doc No</t>
  </si>
  <si>
    <t>Reo Soks</t>
  </si>
  <si>
    <t>Special (t)</t>
  </si>
  <si>
    <t>L12TM3</t>
  </si>
  <si>
    <t>QTY's</t>
  </si>
  <si>
    <t>50/65 Bar Chairs/100bg</t>
  </si>
  <si>
    <t>Tie Wire each</t>
  </si>
  <si>
    <t>180/230 Metal Bases</t>
  </si>
  <si>
    <t>Extras $</t>
  </si>
  <si>
    <t>INVOICE ENTRY</t>
  </si>
  <si>
    <t>REO DEL DOCKET ENTRY</t>
  </si>
  <si>
    <t>$</t>
  </si>
  <si>
    <t>Forcast $ TO GO</t>
  </si>
  <si>
    <t>TOTAL INVOICES PROCESSED:</t>
  </si>
  <si>
    <r>
      <t>ENTER</t>
    </r>
    <r>
      <rPr>
        <b/>
        <sz val="14"/>
        <color theme="5" tint="-0.249977111117893"/>
        <rFont val="Calibri"/>
        <family val="2"/>
      </rPr>
      <t>↓</t>
    </r>
  </si>
  <si>
    <t>↓</t>
  </si>
  <si>
    <t>PO/ ESTIMATE</t>
  </si>
  <si>
    <t>Forecast Qty's to GO</t>
  </si>
  <si>
    <t>Var Qty</t>
  </si>
  <si>
    <t>Var $</t>
  </si>
  <si>
    <t>Check</t>
  </si>
  <si>
    <t>TOTAL DELIVERIES $ COST</t>
  </si>
  <si>
    <t>Percentage of Area Completed</t>
  </si>
  <si>
    <t>SITE Percentage Completed</t>
  </si>
  <si>
    <t>40/50 Deck Chairs/100bg</t>
  </si>
  <si>
    <t>150mm Top Deck Chairs</t>
  </si>
  <si>
    <t>180mm Top Deck Chairs</t>
  </si>
  <si>
    <t>FFC</t>
  </si>
  <si>
    <t>TOTAL JAN</t>
  </si>
  <si>
    <t>FORECAST TO GO</t>
  </si>
  <si>
    <t>Other Invoices Processed on Code</t>
  </si>
  <si>
    <t>see below ancon waffles</t>
  </si>
  <si>
    <t>Pending Invoices in Jobpac</t>
  </si>
  <si>
    <t xml:space="preserve">FORECAST FINAL COST </t>
  </si>
  <si>
    <t>Left on Purchase Order</t>
  </si>
  <si>
    <t>55 sheets @ $79.3/ sheet see costx</t>
  </si>
  <si>
    <t>Mesh 82</t>
  </si>
  <si>
    <t>Black Plastic</t>
  </si>
  <si>
    <t>Cradles</t>
  </si>
  <si>
    <t>Gal Dowels Round</t>
  </si>
  <si>
    <t>Gal Dowels Diamond</t>
  </si>
  <si>
    <t>Admin building Reo Supply</t>
  </si>
  <si>
    <t xml:space="preserve">Pad Footings </t>
  </si>
  <si>
    <t>N12 Bar</t>
  </si>
  <si>
    <t xml:space="preserve">Ground Beams </t>
  </si>
  <si>
    <t>R10 ligs</t>
  </si>
  <si>
    <t>N16 Bar</t>
  </si>
  <si>
    <t>200mm Slab Reo</t>
  </si>
  <si>
    <t>Retaining Wall</t>
  </si>
  <si>
    <t>SOG</t>
  </si>
  <si>
    <t>SL102</t>
  </si>
  <si>
    <t>SL72</t>
  </si>
  <si>
    <t>3L11TM</t>
  </si>
  <si>
    <t>Sheet</t>
  </si>
  <si>
    <t>Stairs</t>
  </si>
  <si>
    <t>N32</t>
  </si>
  <si>
    <t>Driveway</t>
  </si>
  <si>
    <t>SL82</t>
  </si>
  <si>
    <t>DDD 6mm</t>
  </si>
  <si>
    <t>each</t>
  </si>
  <si>
    <t>Admin Walkway Reo Supply</t>
  </si>
  <si>
    <t xml:space="preserve">Ground Beam </t>
  </si>
  <si>
    <t>sheet</t>
  </si>
  <si>
    <t>Hall Reo Supply</t>
  </si>
  <si>
    <t>Hall Walkway Reo Supply</t>
  </si>
  <si>
    <t>Courts Reo Supply</t>
  </si>
  <si>
    <t>Sundries</t>
  </si>
  <si>
    <t>Bar Chairs for trenchmesh</t>
  </si>
  <si>
    <t>Bar Chairs for Mesh</t>
  </si>
  <si>
    <t>Plastic Membrane</t>
  </si>
  <si>
    <t>Tie Wire</t>
  </si>
  <si>
    <t xml:space="preserve">Pod Freight </t>
  </si>
  <si>
    <t>Pod Rails</t>
  </si>
  <si>
    <t xml:space="preserve">Reo Delivery </t>
  </si>
  <si>
    <t xml:space="preserve">Pod Scrap Collection </t>
  </si>
  <si>
    <t>Bags</t>
  </si>
  <si>
    <t>Bag</t>
  </si>
  <si>
    <t>times</t>
  </si>
  <si>
    <t>$ Rate</t>
  </si>
  <si>
    <t>Invoice No.</t>
  </si>
  <si>
    <t>Date</t>
  </si>
  <si>
    <t xml:space="preserve">Area Total </t>
  </si>
  <si>
    <t>Qty Var</t>
  </si>
  <si>
    <t>$ Var</t>
  </si>
  <si>
    <t>Status</t>
  </si>
  <si>
    <t>Budget</t>
  </si>
  <si>
    <t>SUBTOTAL TO DATE</t>
  </si>
  <si>
    <t>Percentage Complete</t>
  </si>
  <si>
    <t>Percentage +/-</t>
  </si>
  <si>
    <t>Forecast</t>
  </si>
  <si>
    <t>Adjusted FFC</t>
  </si>
  <si>
    <t>FFC Variance to Forecast</t>
  </si>
  <si>
    <t>Rolls</t>
  </si>
  <si>
    <t>Delivery 1</t>
  </si>
  <si>
    <t>Delivery 2</t>
  </si>
  <si>
    <t>Delivery 3</t>
  </si>
  <si>
    <t xml:space="preserve">Grey Tape </t>
  </si>
  <si>
    <t>Ancillaries 5%</t>
  </si>
  <si>
    <t>SOG Waffle Pods</t>
  </si>
  <si>
    <t>375mm</t>
  </si>
  <si>
    <t xml:space="preserve">SOG Waffle Pod </t>
  </si>
  <si>
    <t>300mm</t>
  </si>
  <si>
    <t>4 way spacer</t>
  </si>
  <si>
    <t>2 way spacer</t>
  </si>
  <si>
    <t>SOG Waffle Pod</t>
  </si>
  <si>
    <t xml:space="preserve">225mm </t>
  </si>
  <si>
    <t>395mm</t>
  </si>
  <si>
    <t>Mesh 102</t>
  </si>
  <si>
    <t>Mesh 72</t>
  </si>
  <si>
    <t>Grey Tape</t>
  </si>
  <si>
    <t xml:space="preserve">Mesh </t>
  </si>
  <si>
    <t xml:space="preserve">Trench Mesh </t>
  </si>
  <si>
    <t xml:space="preserve">Diamond Danely Dowel </t>
  </si>
  <si>
    <t>6mm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</si>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</sst>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;[Red]\-&quot;$&quot;#,##0.00"/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  <numFmt numFmtId="166" formatCode="0.000"/>
    <numFmt numFmtId="167" formatCode="d/mm/yy;@"/>
    <numFmt numFmtId="168" formatCode="_-&quot;$&quot;* #,##0_-;\-&quot;$&quot;* #,##0_-;_-&quot;$&quot;* &quot;-&quot;??_-;_-@_-"/>
    <numFmt numFmtId="169" formatCode="&quot;$&quot;#,##0"/>
    <numFmt numFmtId="181" formatCode="#,##0.0000"/>
    <numFmt numFmtId="182" formatCode="#,##0.00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8"/>
      <color rgb="FF006600"/>
      <name val="Calibri"/>
      <family val="2"/>
      <scheme val="minor"/>
    </font>
    <font>
      <b/>
      <u/>
      <sz val="10"/>
      <name val="Arial"/>
      <family val="2"/>
    </font>
    <font>
      <b/>
      <u val="singleAccounting"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28"/>
      <color theme="0"/>
      <name val="Calibri"/>
      <family val="2"/>
      <scheme val="minor"/>
    </font>
    <font>
      <b/>
      <sz val="8"/>
      <color theme="1"/>
      <name val="Arial"/>
      <family val="2"/>
    </font>
    <font>
      <b/>
      <u val="singleAccounting"/>
      <sz val="11"/>
      <color theme="1"/>
      <name val="Calibri"/>
      <family val="2"/>
      <scheme val="minor"/>
    </font>
    <font>
      <b/>
      <u/>
      <sz val="10"/>
      <color theme="0"/>
      <name val="Arial"/>
      <family val="2"/>
    </font>
    <font>
      <b/>
      <u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5" tint="-0.249977111117893"/>
      <name val="Calibri"/>
      <family val="2"/>
    </font>
    <font>
      <b/>
      <sz val="14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 val="singleAccounting"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0"/>
      <color indexed="63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/>
      <bottom style="thin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hair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1" fillId="0" borderId="0"/>
  </cellStyleXfs>
  <cellXfs count="361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2" borderId="10" xfId="0" applyFill="1" applyBorder="1"/>
    <xf numFmtId="0" fontId="0" fillId="2" borderId="0" xfId="0" applyFill="1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6" fillId="0" borderId="14" xfId="0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164" fontId="7" fillId="0" borderId="14" xfId="0" applyNumberFormat="1" applyFont="1" applyBorder="1" applyAlignment="1">
      <alignment horizontal="center"/>
    </xf>
    <xf numFmtId="164" fontId="7" fillId="0" borderId="15" xfId="0" applyNumberFormat="1" applyFont="1" applyBorder="1"/>
    <xf numFmtId="0" fontId="0" fillId="2" borderId="16" xfId="0" applyFill="1" applyBorder="1"/>
    <xf numFmtId="0" fontId="0" fillId="0" borderId="17" xfId="0" applyBorder="1"/>
    <xf numFmtId="0" fontId="5" fillId="0" borderId="20" xfId="0" applyFont="1" applyFill="1" applyBorder="1" applyAlignment="1">
      <alignment horizontal="left"/>
    </xf>
    <xf numFmtId="44" fontId="0" fillId="0" borderId="4" xfId="1" applyFont="1" applyBorder="1" applyAlignment="1">
      <alignment horizontal="center"/>
    </xf>
    <xf numFmtId="0" fontId="9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2" fontId="9" fillId="0" borderId="2" xfId="0" applyNumberFormat="1" applyFont="1" applyFill="1" applyBorder="1" applyAlignment="1">
      <alignment horizontal="center" vertical="center"/>
    </xf>
    <xf numFmtId="166" fontId="9" fillId="0" borderId="2" xfId="0" applyNumberFormat="1" applyFont="1" applyFill="1" applyBorder="1" applyAlignment="1">
      <alignment horizontal="center" vertical="center"/>
    </xf>
    <xf numFmtId="44" fontId="0" fillId="0" borderId="0" xfId="1" applyFont="1"/>
    <xf numFmtId="0" fontId="5" fillId="0" borderId="0" xfId="0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0" xfId="0" applyBorder="1"/>
    <xf numFmtId="44" fontId="0" fillId="0" borderId="0" xfId="1" applyFont="1" applyBorder="1"/>
    <xf numFmtId="0" fontId="0" fillId="0" borderId="23" xfId="0" applyBorder="1"/>
    <xf numFmtId="14" fontId="9" fillId="0" borderId="24" xfId="0" applyNumberFormat="1" applyFont="1" applyFill="1" applyBorder="1" applyAlignment="1">
      <alignment horizontal="center" vertical="center" wrapText="1"/>
    </xf>
    <xf numFmtId="44" fontId="9" fillId="0" borderId="2" xfId="1" applyFont="1" applyFill="1" applyBorder="1" applyAlignment="1">
      <alignment horizontal="center" vertical="center"/>
    </xf>
    <xf numFmtId="0" fontId="11" fillId="0" borderId="28" xfId="0" applyNumberFormat="1" applyFont="1" applyFill="1" applyBorder="1" applyAlignment="1">
      <alignment horizontal="center" vertical="center"/>
    </xf>
    <xf numFmtId="0" fontId="11" fillId="0" borderId="28" xfId="0" applyNumberFormat="1" applyFont="1" applyFill="1" applyBorder="1" applyAlignment="1">
      <alignment horizontal="center" vertical="center" wrapText="1"/>
    </xf>
    <xf numFmtId="165" fontId="11" fillId="0" borderId="28" xfId="1" applyNumberFormat="1" applyFont="1" applyFill="1" applyBorder="1" applyAlignment="1">
      <alignment horizontal="center" vertical="center"/>
    </xf>
    <xf numFmtId="14" fontId="11" fillId="0" borderId="29" xfId="0" applyNumberFormat="1" applyFont="1" applyFill="1" applyBorder="1" applyAlignment="1">
      <alignment horizontal="center" vertical="center"/>
    </xf>
    <xf numFmtId="44" fontId="11" fillId="0" borderId="28" xfId="1" applyFont="1" applyFill="1" applyBorder="1" applyAlignment="1">
      <alignment horizontal="center" vertical="center"/>
    </xf>
    <xf numFmtId="165" fontId="11" fillId="0" borderId="28" xfId="1" applyNumberFormat="1" applyFont="1" applyFill="1" applyBorder="1" applyAlignment="1">
      <alignment horizontal="center" vertical="center" wrapText="1"/>
    </xf>
    <xf numFmtId="0" fontId="9" fillId="0" borderId="28" xfId="0" applyNumberFormat="1" applyFont="1" applyFill="1" applyBorder="1" applyAlignment="1">
      <alignment horizontal="center" vertical="center"/>
    </xf>
    <xf numFmtId="44" fontId="9" fillId="0" borderId="28" xfId="0" applyNumberFormat="1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NumberFormat="1" applyFont="1" applyFill="1" applyBorder="1" applyAlignment="1">
      <alignment horizontal="center" vertical="center"/>
    </xf>
    <xf numFmtId="1" fontId="11" fillId="0" borderId="28" xfId="1" applyNumberFormat="1" applyFont="1" applyFill="1" applyBorder="1" applyAlignment="1">
      <alignment horizontal="center" vertical="center"/>
    </xf>
    <xf numFmtId="14" fontId="9" fillId="0" borderId="31" xfId="0" applyNumberFormat="1" applyFont="1" applyFill="1" applyBorder="1" applyAlignment="1">
      <alignment horizontal="center" vertical="center" wrapText="1"/>
    </xf>
    <xf numFmtId="167" fontId="10" fillId="0" borderId="27" xfId="0" applyNumberFormat="1" applyFont="1" applyFill="1" applyBorder="1" applyAlignment="1">
      <alignment horizontal="center" vertical="center"/>
    </xf>
    <xf numFmtId="1" fontId="10" fillId="0" borderId="32" xfId="0" applyNumberFormat="1" applyFont="1" applyFill="1" applyBorder="1" applyAlignment="1">
      <alignment horizontal="center" vertical="center"/>
    </xf>
    <xf numFmtId="1" fontId="11" fillId="0" borderId="28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25" xfId="0" applyNumberFormat="1" applyFont="1" applyFill="1" applyBorder="1" applyAlignment="1">
      <alignment horizontal="center" vertical="center"/>
    </xf>
    <xf numFmtId="0" fontId="9" fillId="3" borderId="28" xfId="0" applyNumberFormat="1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165" fontId="11" fillId="3" borderId="28" xfId="1" applyNumberFormat="1" applyFont="1" applyFill="1" applyBorder="1" applyAlignment="1">
      <alignment horizontal="center" vertical="center"/>
    </xf>
    <xf numFmtId="14" fontId="9" fillId="3" borderId="28" xfId="0" applyNumberFormat="1" applyFont="1" applyFill="1" applyBorder="1" applyAlignment="1">
      <alignment horizontal="center" vertical="center"/>
    </xf>
    <xf numFmtId="165" fontId="9" fillId="3" borderId="30" xfId="0" applyNumberFormat="1" applyFont="1" applyFill="1" applyBorder="1" applyAlignment="1">
      <alignment horizontal="center" vertical="center"/>
    </xf>
    <xf numFmtId="0" fontId="4" fillId="0" borderId="0" xfId="0" applyFont="1"/>
    <xf numFmtId="0" fontId="9" fillId="0" borderId="0" xfId="0" applyFont="1" applyFill="1" applyAlignment="1">
      <alignment horizontal="center" vertical="center"/>
    </xf>
    <xf numFmtId="0" fontId="0" fillId="0" borderId="0" xfId="0" applyFont="1"/>
    <xf numFmtId="165" fontId="11" fillId="0" borderId="0" xfId="0" applyNumberFormat="1" applyFont="1" applyFill="1" applyBorder="1" applyAlignment="1">
      <alignment horizontal="center" vertical="center"/>
    </xf>
    <xf numFmtId="166" fontId="9" fillId="0" borderId="2" xfId="0" applyNumberFormat="1" applyFont="1" applyFill="1" applyBorder="1" applyAlignment="1">
      <alignment horizontal="center" vertical="center" wrapText="1"/>
    </xf>
    <xf numFmtId="44" fontId="0" fillId="0" borderId="0" xfId="1" applyFont="1" applyBorder="1" applyAlignment="1">
      <alignment horizontal="center"/>
    </xf>
    <xf numFmtId="167" fontId="10" fillId="0" borderId="33" xfId="0" applyNumberFormat="1" applyFont="1" applyFill="1" applyBorder="1" applyAlignment="1">
      <alignment horizontal="center" vertical="center"/>
    </xf>
    <xf numFmtId="1" fontId="10" fillId="0" borderId="34" xfId="0" applyNumberFormat="1" applyFont="1" applyFill="1" applyBorder="1" applyAlignment="1">
      <alignment horizontal="center" vertical="center"/>
    </xf>
    <xf numFmtId="0" fontId="11" fillId="0" borderId="35" xfId="0" applyNumberFormat="1" applyFont="1" applyFill="1" applyBorder="1" applyAlignment="1">
      <alignment horizontal="center" vertical="center"/>
    </xf>
    <xf numFmtId="0" fontId="11" fillId="0" borderId="35" xfId="0" applyNumberFormat="1" applyFont="1" applyFill="1" applyBorder="1" applyAlignment="1">
      <alignment horizontal="center" vertical="center" wrapText="1"/>
    </xf>
    <xf numFmtId="1" fontId="11" fillId="0" borderId="35" xfId="0" applyNumberFormat="1" applyFont="1" applyFill="1" applyBorder="1" applyAlignment="1">
      <alignment horizontal="center" vertical="center"/>
    </xf>
    <xf numFmtId="1" fontId="11" fillId="0" borderId="35" xfId="1" applyNumberFormat="1" applyFont="1" applyFill="1" applyBorder="1" applyAlignment="1">
      <alignment horizontal="center" vertical="center"/>
    </xf>
    <xf numFmtId="0" fontId="11" fillId="0" borderId="36" xfId="0" applyNumberFormat="1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44" fontId="9" fillId="0" borderId="35" xfId="0" applyNumberFormat="1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37" xfId="0" applyFont="1" applyFill="1" applyBorder="1" applyAlignment="1">
      <alignment horizontal="center" vertical="center"/>
    </xf>
    <xf numFmtId="167" fontId="13" fillId="0" borderId="38" xfId="0" applyNumberFormat="1" applyFont="1" applyFill="1" applyBorder="1" applyAlignment="1">
      <alignment horizontal="center" vertical="center"/>
    </xf>
    <xf numFmtId="1" fontId="13" fillId="0" borderId="39" xfId="0" applyNumberFormat="1" applyFont="1" applyFill="1" applyBorder="1" applyAlignment="1">
      <alignment horizontal="center" vertical="center"/>
    </xf>
    <xf numFmtId="0" fontId="9" fillId="0" borderId="40" xfId="0" applyNumberFormat="1" applyFont="1" applyFill="1" applyBorder="1" applyAlignment="1">
      <alignment horizontal="center" vertical="center"/>
    </xf>
    <xf numFmtId="0" fontId="9" fillId="0" borderId="40" xfId="0" applyNumberFormat="1" applyFont="1" applyFill="1" applyBorder="1" applyAlignment="1">
      <alignment horizontal="center" vertical="center" wrapText="1"/>
    </xf>
    <xf numFmtId="166" fontId="9" fillId="0" borderId="40" xfId="0" applyNumberFormat="1" applyFont="1" applyFill="1" applyBorder="1" applyAlignment="1">
      <alignment horizontal="center" vertical="center"/>
    </xf>
    <xf numFmtId="1" fontId="9" fillId="0" borderId="40" xfId="0" applyNumberFormat="1" applyFont="1" applyFill="1" applyBorder="1" applyAlignment="1">
      <alignment horizontal="center" vertical="center"/>
    </xf>
    <xf numFmtId="168" fontId="9" fillId="0" borderId="40" xfId="1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44" fontId="9" fillId="0" borderId="40" xfId="1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/>
    </xf>
    <xf numFmtId="44" fontId="14" fillId="0" borderId="14" xfId="0" applyNumberFormat="1" applyFont="1" applyBorder="1"/>
    <xf numFmtId="0" fontId="15" fillId="2" borderId="7" xfId="0" applyFont="1" applyFill="1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1" xfId="0" applyBorder="1" applyAlignment="1"/>
    <xf numFmtId="0" fontId="0" fillId="0" borderId="0" xfId="0" applyBorder="1" applyAlignment="1"/>
    <xf numFmtId="44" fontId="0" fillId="0" borderId="4" xfId="0" applyNumberFormat="1" applyBorder="1"/>
    <xf numFmtId="0" fontId="15" fillId="2" borderId="6" xfId="0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44" fontId="0" fillId="0" borderId="0" xfId="0" applyNumberFormat="1"/>
    <xf numFmtId="0" fontId="17" fillId="0" borderId="0" xfId="0" applyFont="1" applyAlignment="1">
      <alignment horizontal="right"/>
    </xf>
    <xf numFmtId="44" fontId="17" fillId="0" borderId="0" xfId="0" applyNumberFormat="1" applyFont="1" applyAlignment="1">
      <alignment horizontal="right"/>
    </xf>
    <xf numFmtId="44" fontId="0" fillId="2" borderId="2" xfId="1" applyFont="1" applyFill="1" applyBorder="1" applyAlignment="1">
      <alignment vertical="center"/>
    </xf>
    <xf numFmtId="14" fontId="11" fillId="0" borderId="28" xfId="1" applyNumberFormat="1" applyFont="1" applyFill="1" applyBorder="1" applyAlignment="1">
      <alignment horizontal="center" vertical="center"/>
    </xf>
    <xf numFmtId="0" fontId="11" fillId="0" borderId="28" xfId="1" applyNumberFormat="1" applyFont="1" applyFill="1" applyBorder="1" applyAlignment="1">
      <alignment horizontal="center" vertical="center"/>
    </xf>
    <xf numFmtId="0" fontId="11" fillId="0" borderId="35" xfId="1" applyNumberFormat="1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/>
    </xf>
    <xf numFmtId="165" fontId="11" fillId="0" borderId="35" xfId="1" applyNumberFormat="1" applyFont="1" applyFill="1" applyBorder="1" applyAlignment="1">
      <alignment horizontal="center" vertical="center"/>
    </xf>
    <xf numFmtId="2" fontId="11" fillId="0" borderId="28" xfId="0" applyNumberFormat="1" applyFont="1" applyFill="1" applyBorder="1" applyAlignment="1">
      <alignment horizontal="center" vertical="center"/>
    </xf>
    <xf numFmtId="2" fontId="11" fillId="0" borderId="35" xfId="0" applyNumberFormat="1" applyFont="1" applyFill="1" applyBorder="1" applyAlignment="1">
      <alignment horizontal="center" vertical="center"/>
    </xf>
    <xf numFmtId="166" fontId="11" fillId="0" borderId="28" xfId="0" applyNumberFormat="1" applyFont="1" applyFill="1" applyBorder="1" applyAlignment="1">
      <alignment horizontal="center" vertical="center"/>
    </xf>
    <xf numFmtId="2" fontId="9" fillId="0" borderId="2" xfId="1" applyNumberFormat="1" applyFont="1" applyFill="1" applyBorder="1" applyAlignment="1">
      <alignment horizontal="center" vertical="center"/>
    </xf>
    <xf numFmtId="165" fontId="9" fillId="3" borderId="2" xfId="1" applyNumberFormat="1" applyFont="1" applyFill="1" applyBorder="1" applyAlignment="1">
      <alignment horizontal="center" vertical="center" wrapText="1"/>
    </xf>
    <xf numFmtId="44" fontId="11" fillId="3" borderId="28" xfId="0" applyNumberFormat="1" applyFont="1" applyFill="1" applyBorder="1" applyAlignment="1">
      <alignment horizontal="center" vertical="center"/>
    </xf>
    <xf numFmtId="44" fontId="11" fillId="0" borderId="26" xfId="1" applyFont="1" applyFill="1" applyBorder="1" applyAlignment="1">
      <alignment horizontal="center" vertical="center"/>
    </xf>
    <xf numFmtId="165" fontId="11" fillId="0" borderId="28" xfId="0" applyNumberFormat="1" applyFont="1" applyFill="1" applyBorder="1" applyAlignment="1">
      <alignment horizontal="center" vertical="center"/>
    </xf>
    <xf numFmtId="165" fontId="11" fillId="0" borderId="35" xfId="0" applyNumberFormat="1" applyFont="1" applyFill="1" applyBorder="1" applyAlignment="1">
      <alignment horizontal="center" vertical="center"/>
    </xf>
    <xf numFmtId="166" fontId="0" fillId="0" borderId="4" xfId="0" applyNumberFormat="1" applyBorder="1"/>
    <xf numFmtId="0" fontId="15" fillId="2" borderId="7" xfId="0" applyFont="1" applyFill="1" applyBorder="1" applyAlignment="1">
      <alignment horizontal="center" wrapText="1"/>
    </xf>
    <xf numFmtId="2" fontId="14" fillId="0" borderId="14" xfId="0" applyNumberFormat="1" applyFont="1" applyBorder="1"/>
    <xf numFmtId="9" fontId="0" fillId="0" borderId="13" xfId="2" applyFont="1" applyBorder="1" applyAlignment="1">
      <alignment horizontal="center"/>
    </xf>
    <xf numFmtId="9" fontId="21" fillId="0" borderId="18" xfId="0" applyNumberFormat="1" applyFont="1" applyBorder="1" applyAlignment="1">
      <alignment horizontal="center"/>
    </xf>
    <xf numFmtId="0" fontId="16" fillId="2" borderId="12" xfId="0" applyFont="1" applyFill="1" applyBorder="1" applyAlignment="1">
      <alignment horizontal="center" wrapText="1"/>
    </xf>
    <xf numFmtId="44" fontId="14" fillId="0" borderId="0" xfId="0" applyNumberFormat="1" applyFont="1"/>
    <xf numFmtId="0" fontId="15" fillId="2" borderId="42" xfId="0" applyFont="1" applyFill="1" applyBorder="1" applyAlignment="1">
      <alignment horizontal="center" wrapText="1"/>
    </xf>
    <xf numFmtId="44" fontId="0" fillId="0" borderId="43" xfId="0" applyNumberFormat="1" applyBorder="1"/>
    <xf numFmtId="44" fontId="14" fillId="0" borderId="44" xfId="0" applyNumberFormat="1" applyFont="1" applyBorder="1"/>
    <xf numFmtId="9" fontId="0" fillId="0" borderId="43" xfId="2" applyNumberFormat="1" applyFont="1" applyBorder="1" applyAlignment="1">
      <alignment horizontal="center"/>
    </xf>
    <xf numFmtId="1" fontId="0" fillId="0" borderId="4" xfId="0" applyNumberFormat="1" applyBorder="1"/>
    <xf numFmtId="1" fontId="14" fillId="0" borderId="14" xfId="0" applyNumberFormat="1" applyFont="1" applyBorder="1"/>
    <xf numFmtId="168" fontId="4" fillId="0" borderId="0" xfId="1" applyNumberFormat="1" applyFont="1" applyBorder="1"/>
    <xf numFmtId="44" fontId="4" fillId="0" borderId="0" xfId="1" applyFont="1" applyBorder="1"/>
    <xf numFmtId="2" fontId="2" fillId="0" borderId="3" xfId="0" applyNumberFormat="1" applyFont="1" applyBorder="1" applyAlignment="1">
      <alignment horizontal="center"/>
    </xf>
    <xf numFmtId="9" fontId="0" fillId="0" borderId="43" xfId="2" applyFont="1" applyBorder="1" applyAlignment="1">
      <alignment horizontal="center"/>
    </xf>
    <xf numFmtId="44" fontId="11" fillId="6" borderId="28" xfId="1" applyFont="1" applyFill="1" applyBorder="1" applyAlignment="1">
      <alignment horizontal="center" vertical="center"/>
    </xf>
    <xf numFmtId="14" fontId="11" fillId="3" borderId="28" xfId="0" applyNumberFormat="1" applyFont="1" applyFill="1" applyBorder="1" applyAlignment="1">
      <alignment horizontal="center" vertical="center"/>
    </xf>
    <xf numFmtId="165" fontId="11" fillId="3" borderId="30" xfId="0" applyNumberFormat="1" applyFont="1" applyFill="1" applyBorder="1" applyAlignment="1">
      <alignment horizontal="center" vertical="center"/>
    </xf>
    <xf numFmtId="165" fontId="11" fillId="0" borderId="26" xfId="1" applyNumberFormat="1" applyFont="1" applyFill="1" applyBorder="1" applyAlignment="1">
      <alignment horizontal="center" vertical="center" wrapText="1"/>
    </xf>
    <xf numFmtId="165" fontId="24" fillId="4" borderId="0" xfId="3" applyNumberFormat="1" applyBorder="1" applyAlignment="1">
      <alignment horizontal="center" vertical="center"/>
    </xf>
    <xf numFmtId="165" fontId="25" fillId="5" borderId="0" xfId="4" applyNumberFormat="1" applyBorder="1" applyAlignment="1">
      <alignment horizontal="center" vertical="center"/>
    </xf>
    <xf numFmtId="44" fontId="11" fillId="6" borderId="28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5" fillId="0" borderId="20" xfId="0" applyNumberFormat="1" applyFont="1" applyFill="1" applyBorder="1" applyAlignment="1">
      <alignment horizontal="center"/>
    </xf>
    <xf numFmtId="4" fontId="18" fillId="2" borderId="2" xfId="0" applyNumberFormat="1" applyFont="1" applyFill="1" applyBorder="1" applyAlignment="1">
      <alignment horizontal="center"/>
    </xf>
    <xf numFmtId="4" fontId="9" fillId="0" borderId="2" xfId="0" applyNumberFormat="1" applyFont="1" applyFill="1" applyBorder="1" applyAlignment="1">
      <alignment horizontal="center" vertical="center" wrapText="1"/>
    </xf>
    <xf numFmtId="4" fontId="11" fillId="0" borderId="28" xfId="0" applyNumberFormat="1" applyFont="1" applyFill="1" applyBorder="1" applyAlignment="1">
      <alignment horizontal="center" vertical="center"/>
    </xf>
    <xf numFmtId="4" fontId="11" fillId="0" borderId="35" xfId="0" applyNumberFormat="1" applyFont="1" applyFill="1" applyBorder="1" applyAlignment="1">
      <alignment horizontal="center" vertical="center"/>
    </xf>
    <xf numFmtId="165" fontId="0" fillId="0" borderId="0" xfId="0" applyNumberFormat="1"/>
    <xf numFmtId="10" fontId="0" fillId="0" borderId="0" xfId="0" applyNumberFormat="1"/>
    <xf numFmtId="0" fontId="11" fillId="3" borderId="45" xfId="0" applyFont="1" applyFill="1" applyBorder="1" applyAlignment="1">
      <alignment horizontal="center" vertical="center"/>
    </xf>
    <xf numFmtId="14" fontId="11" fillId="3" borderId="45" xfId="0" applyNumberFormat="1" applyFont="1" applyFill="1" applyBorder="1" applyAlignment="1">
      <alignment horizontal="center" vertical="center"/>
    </xf>
    <xf numFmtId="165" fontId="11" fillId="3" borderId="47" xfId="0" applyNumberFormat="1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/>
    </xf>
    <xf numFmtId="0" fontId="0" fillId="0" borderId="46" xfId="0" applyBorder="1"/>
    <xf numFmtId="44" fontId="0" fillId="0" borderId="46" xfId="0" applyNumberFormat="1" applyBorder="1"/>
    <xf numFmtId="165" fontId="0" fillId="0" borderId="46" xfId="0" applyNumberFormat="1" applyBorder="1"/>
    <xf numFmtId="0" fontId="4" fillId="0" borderId="46" xfId="0" applyFont="1" applyBorder="1"/>
    <xf numFmtId="44" fontId="4" fillId="0" borderId="46" xfId="0" applyNumberFormat="1" applyFont="1" applyBorder="1"/>
    <xf numFmtId="0" fontId="0" fillId="0" borderId="0" xfId="0" applyAlignment="1">
      <alignment horizontal="left"/>
    </xf>
    <xf numFmtId="0" fontId="0" fillId="7" borderId="0" xfId="0" applyFill="1" applyAlignment="1">
      <alignment horizontal="left"/>
    </xf>
    <xf numFmtId="168" fontId="4" fillId="0" borderId="0" xfId="0" applyNumberFormat="1" applyFont="1"/>
    <xf numFmtId="44" fontId="21" fillId="0" borderId="0" xfId="0" applyNumberFormat="1" applyFont="1"/>
    <xf numFmtId="0" fontId="21" fillId="0" borderId="0" xfId="0" applyFont="1"/>
    <xf numFmtId="168" fontId="0" fillId="0" borderId="0" xfId="0" applyNumberFormat="1" applyFont="1"/>
    <xf numFmtId="165" fontId="4" fillId="0" borderId="0" xfId="0" applyNumberFormat="1" applyFont="1"/>
    <xf numFmtId="169" fontId="9" fillId="3" borderId="4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8" fontId="0" fillId="0" borderId="0" xfId="1" applyNumberFormat="1" applyFont="1"/>
    <xf numFmtId="0" fontId="27" fillId="0" borderId="0" xfId="0" applyFont="1"/>
    <xf numFmtId="44" fontId="27" fillId="0" borderId="0" xfId="1" applyFont="1"/>
    <xf numFmtId="44" fontId="27" fillId="0" borderId="0" xfId="0" applyNumberFormat="1" applyFont="1"/>
    <xf numFmtId="44" fontId="28" fillId="0" borderId="0" xfId="0" applyNumberFormat="1" applyFont="1"/>
    <xf numFmtId="3" fontId="11" fillId="0" borderId="28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1" fontId="2" fillId="8" borderId="3" xfId="0" applyNumberFormat="1" applyFont="1" applyFill="1" applyBorder="1" applyAlignment="1">
      <alignment horizontal="center"/>
    </xf>
    <xf numFmtId="44" fontId="3" fillId="8" borderId="4" xfId="0" applyNumberFormat="1" applyFont="1" applyFill="1" applyBorder="1" applyAlignment="1">
      <alignment horizontal="center"/>
    </xf>
    <xf numFmtId="0" fontId="2" fillId="8" borderId="48" xfId="0" applyFont="1" applyFill="1" applyBorder="1" applyAlignment="1"/>
    <xf numFmtId="0" fontId="2" fillId="8" borderId="46" xfId="0" applyFont="1" applyFill="1" applyBorder="1" applyAlignment="1"/>
    <xf numFmtId="14" fontId="11" fillId="0" borderId="49" xfId="0" applyNumberFormat="1" applyFont="1" applyFill="1" applyBorder="1" applyAlignment="1">
      <alignment horizontal="center" vertical="center" wrapText="1"/>
    </xf>
    <xf numFmtId="0" fontId="11" fillId="0" borderId="26" xfId="0" applyNumberFormat="1" applyFont="1" applyFill="1" applyBorder="1" applyAlignment="1">
      <alignment horizontal="center" vertical="center" wrapText="1"/>
    </xf>
    <xf numFmtId="2" fontId="11" fillId="0" borderId="26" xfId="0" applyNumberFormat="1" applyFont="1" applyFill="1" applyBorder="1" applyAlignment="1">
      <alignment horizontal="center" vertical="center"/>
    </xf>
    <xf numFmtId="166" fontId="11" fillId="0" borderId="26" xfId="0" applyNumberFormat="1" applyFont="1" applyFill="1" applyBorder="1" applyAlignment="1">
      <alignment horizontal="center" vertical="center"/>
    </xf>
    <xf numFmtId="166" fontId="11" fillId="0" borderId="26" xfId="0" applyNumberFormat="1" applyFont="1" applyFill="1" applyBorder="1" applyAlignment="1">
      <alignment horizontal="center" vertical="center" wrapText="1"/>
    </xf>
    <xf numFmtId="4" fontId="11" fillId="0" borderId="26" xfId="0" applyNumberFormat="1" applyFont="1" applyFill="1" applyBorder="1" applyAlignment="1">
      <alignment horizontal="center" vertical="center" wrapText="1"/>
    </xf>
    <xf numFmtId="2" fontId="11" fillId="0" borderId="26" xfId="1" applyNumberFormat="1" applyFont="1" applyFill="1" applyBorder="1" applyAlignment="1">
      <alignment horizontal="center" vertical="center"/>
    </xf>
    <xf numFmtId="0" fontId="11" fillId="3" borderId="26" xfId="0" applyNumberFormat="1" applyFont="1" applyFill="1" applyBorder="1" applyAlignment="1">
      <alignment horizontal="center" vertical="center"/>
    </xf>
    <xf numFmtId="0" fontId="11" fillId="0" borderId="26" xfId="0" applyNumberFormat="1" applyFont="1" applyFill="1" applyBorder="1" applyAlignment="1">
      <alignment horizontal="center" vertical="center"/>
    </xf>
    <xf numFmtId="0" fontId="11" fillId="3" borderId="50" xfId="0" applyNumberFormat="1" applyFont="1" applyFill="1" applyBorder="1" applyAlignment="1">
      <alignment horizontal="center" vertical="center"/>
    </xf>
    <xf numFmtId="14" fontId="11" fillId="0" borderId="26" xfId="0" applyNumberFormat="1" applyFont="1" applyFill="1" applyBorder="1" applyAlignment="1">
      <alignment horizontal="center" vertical="center" wrapText="1"/>
    </xf>
    <xf numFmtId="1" fontId="11" fillId="0" borderId="26" xfId="0" applyNumberFormat="1" applyFont="1" applyFill="1" applyBorder="1" applyAlignment="1">
      <alignment horizontal="center" vertical="center" wrapText="1"/>
    </xf>
    <xf numFmtId="165" fontId="9" fillId="0" borderId="40" xfId="0" applyNumberFormat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" fillId="0" borderId="20" xfId="0" applyFont="1" applyFill="1" applyBorder="1" applyAlignment="1">
      <alignment horizontal="right" wrapText="1"/>
    </xf>
    <xf numFmtId="0" fontId="2" fillId="0" borderId="21" xfId="0" applyFont="1" applyFill="1" applyBorder="1" applyAlignment="1">
      <alignment horizontal="right" wrapText="1"/>
    </xf>
    <xf numFmtId="0" fontId="2" fillId="0" borderId="16" xfId="0" applyFont="1" applyFill="1" applyBorder="1" applyAlignment="1">
      <alignment horizontal="right" wrapText="1"/>
    </xf>
    <xf numFmtId="0" fontId="2" fillId="0" borderId="22" xfId="0" applyFont="1" applyFill="1" applyBorder="1" applyAlignment="1">
      <alignment horizontal="right" wrapText="1"/>
    </xf>
    <xf numFmtId="0" fontId="5" fillId="0" borderId="20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5" fillId="0" borderId="21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/>
    </xf>
    <xf numFmtId="0" fontId="11" fillId="3" borderId="4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6" fillId="0" borderId="52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8" borderId="58" xfId="0" applyFill="1" applyBorder="1" applyAlignment="1">
      <alignment horizontal="center"/>
    </xf>
    <xf numFmtId="0" fontId="0" fillId="8" borderId="46" xfId="0" applyFill="1" applyBorder="1" applyAlignment="1">
      <alignment horizontal="center"/>
    </xf>
    <xf numFmtId="4" fontId="30" fillId="9" borderId="2" xfId="0" applyNumberFormat="1" applyFont="1" applyFill="1" applyBorder="1" applyAlignment="1">
      <alignment horizontal="center"/>
    </xf>
    <xf numFmtId="0" fontId="30" fillId="9" borderId="2" xfId="0" applyFont="1" applyFill="1" applyBorder="1" applyAlignment="1">
      <alignment horizontal="center"/>
    </xf>
    <xf numFmtId="165" fontId="30" fillId="0" borderId="2" xfId="0" applyNumberFormat="1" applyFont="1" applyFill="1" applyBorder="1" applyAlignment="1">
      <alignment horizontal="center" vertical="center"/>
    </xf>
    <xf numFmtId="165" fontId="30" fillId="0" borderId="25" xfId="0" applyNumberFormat="1" applyFont="1" applyFill="1" applyBorder="1" applyAlignment="1">
      <alignment horizontal="center" vertical="center" wrapText="1"/>
    </xf>
    <xf numFmtId="4" fontId="31" fillId="9" borderId="2" xfId="0" applyNumberFormat="1" applyFont="1" applyFill="1" applyBorder="1" applyAlignment="1">
      <alignment horizontal="center"/>
    </xf>
    <xf numFmtId="0" fontId="31" fillId="9" borderId="2" xfId="0" applyFont="1" applyFill="1" applyBorder="1" applyAlignment="1">
      <alignment horizontal="center"/>
    </xf>
    <xf numFmtId="3" fontId="30" fillId="9" borderId="2" xfId="0" applyNumberFormat="1" applyFont="1" applyFill="1" applyBorder="1" applyAlignment="1">
      <alignment horizontal="center"/>
    </xf>
    <xf numFmtId="8" fontId="30" fillId="0" borderId="0" xfId="5" applyNumberFormat="1" applyFont="1" applyAlignment="1">
      <alignment horizontal="center"/>
    </xf>
    <xf numFmtId="4" fontId="3" fillId="9" borderId="2" xfId="0" applyNumberFormat="1" applyFont="1" applyFill="1" applyBorder="1" applyAlignment="1">
      <alignment horizontal="center"/>
    </xf>
    <xf numFmtId="4" fontId="3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/>
    <xf numFmtId="169" fontId="32" fillId="0" borderId="25" xfId="0" applyNumberFormat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/>
    </xf>
    <xf numFmtId="165" fontId="0" fillId="0" borderId="4" xfId="0" applyNumberFormat="1" applyBorder="1"/>
    <xf numFmtId="166" fontId="0" fillId="0" borderId="13" xfId="0" applyNumberFormat="1" applyBorder="1"/>
    <xf numFmtId="8" fontId="30" fillId="0" borderId="0" xfId="5" applyNumberFormat="1" applyFont="1" applyBorder="1" applyAlignment="1">
      <alignment horizontal="center"/>
    </xf>
    <xf numFmtId="0" fontId="0" fillId="0" borderId="13" xfId="0" applyBorder="1"/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2" fontId="14" fillId="0" borderId="18" xfId="0" applyNumberFormat="1" applyFont="1" applyBorder="1"/>
    <xf numFmtId="0" fontId="0" fillId="0" borderId="43" xfId="0" applyBorder="1" applyAlignment="1">
      <alignment horizontal="center"/>
    </xf>
    <xf numFmtId="164" fontId="7" fillId="0" borderId="44" xfId="0" applyNumberFormat="1" applyFont="1" applyBorder="1"/>
    <xf numFmtId="2" fontId="2" fillId="0" borderId="48" xfId="0" applyNumberFormat="1" applyFont="1" applyBorder="1" applyAlignment="1">
      <alignment horizontal="center"/>
    </xf>
    <xf numFmtId="1" fontId="2" fillId="0" borderId="48" xfId="0" applyNumberFormat="1" applyFont="1" applyBorder="1" applyAlignment="1">
      <alignment horizontal="center"/>
    </xf>
    <xf numFmtId="0" fontId="0" fillId="0" borderId="60" xfId="0" applyBorder="1"/>
    <xf numFmtId="0" fontId="0" fillId="2" borderId="61" xfId="0" applyFill="1" applyBorder="1"/>
    <xf numFmtId="0" fontId="0" fillId="2" borderId="62" xfId="0" applyFill="1" applyBorder="1"/>
    <xf numFmtId="0" fontId="2" fillId="0" borderId="48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4" fillId="0" borderId="63" xfId="0" applyFont="1" applyBorder="1" applyAlignment="1">
      <alignment horizontal="center"/>
    </xf>
    <xf numFmtId="0" fontId="4" fillId="0" borderId="64" xfId="0" applyFont="1" applyBorder="1" applyAlignment="1">
      <alignment horizontal="center"/>
    </xf>
    <xf numFmtId="165" fontId="33" fillId="0" borderId="65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1" fontId="2" fillId="0" borderId="55" xfId="0" applyNumberFormat="1" applyFont="1" applyBorder="1" applyAlignment="1">
      <alignment horizontal="center"/>
    </xf>
    <xf numFmtId="44" fontId="3" fillId="0" borderId="66" xfId="0" applyNumberFormat="1" applyFont="1" applyBorder="1" applyAlignment="1">
      <alignment horizontal="center"/>
    </xf>
    <xf numFmtId="44" fontId="0" fillId="0" borderId="66" xfId="0" applyNumberFormat="1" applyBorder="1"/>
    <xf numFmtId="166" fontId="0" fillId="0" borderId="68" xfId="0" applyNumberFormat="1" applyBorder="1"/>
    <xf numFmtId="0" fontId="3" fillId="0" borderId="7" xfId="0" applyFont="1" applyBorder="1"/>
    <xf numFmtId="4" fontId="3" fillId="9" borderId="69" xfId="0" applyNumberFormat="1" applyFont="1" applyFill="1" applyBorder="1" applyAlignment="1">
      <alignment horizontal="center"/>
    </xf>
    <xf numFmtId="0" fontId="30" fillId="9" borderId="69" xfId="0" applyFont="1" applyFill="1" applyBorder="1" applyAlignment="1">
      <alignment horizontal="center"/>
    </xf>
    <xf numFmtId="165" fontId="30" fillId="0" borderId="69" xfId="0" applyNumberFormat="1" applyFont="1" applyFill="1" applyBorder="1" applyAlignment="1">
      <alignment horizontal="center" vertical="center"/>
    </xf>
    <xf numFmtId="165" fontId="30" fillId="0" borderId="70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42" xfId="0" applyBorder="1" applyAlignment="1">
      <alignment horizontal="center"/>
    </xf>
    <xf numFmtId="2" fontId="2" fillId="0" borderId="57" xfId="0" applyNumberFormat="1" applyFont="1" applyBorder="1" applyAlignment="1">
      <alignment horizontal="center"/>
    </xf>
    <xf numFmtId="44" fontId="3" fillId="0" borderId="7" xfId="0" applyNumberFormat="1" applyFont="1" applyBorder="1" applyAlignment="1">
      <alignment horizontal="center"/>
    </xf>
    <xf numFmtId="44" fontId="0" fillId="0" borderId="7" xfId="0" applyNumberFormat="1" applyBorder="1"/>
    <xf numFmtId="166" fontId="0" fillId="0" borderId="12" xfId="0" applyNumberFormat="1" applyBorder="1"/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0" fontId="6" fillId="0" borderId="19" xfId="0" applyFont="1" applyBorder="1" applyAlignment="1">
      <alignment horizontal="center"/>
    </xf>
    <xf numFmtId="0" fontId="6" fillId="0" borderId="71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15" fillId="2" borderId="73" xfId="0" applyFont="1" applyFill="1" applyBorder="1" applyAlignment="1">
      <alignment horizontal="center"/>
    </xf>
    <xf numFmtId="0" fontId="15" fillId="2" borderId="71" xfId="0" applyFont="1" applyFill="1" applyBorder="1" applyAlignment="1">
      <alignment horizontal="center"/>
    </xf>
    <xf numFmtId="0" fontId="15" fillId="2" borderId="71" xfId="0" applyFont="1" applyFill="1" applyBorder="1" applyAlignment="1">
      <alignment horizontal="center" wrapText="1"/>
    </xf>
    <xf numFmtId="4" fontId="30" fillId="9" borderId="69" xfId="0" applyNumberFormat="1" applyFont="1" applyFill="1" applyBorder="1" applyAlignment="1">
      <alignment horizontal="center"/>
    </xf>
    <xf numFmtId="44" fontId="30" fillId="0" borderId="2" xfId="0" applyNumberFormat="1" applyFont="1" applyFill="1" applyBorder="1" applyAlignment="1">
      <alignment horizontal="center" vertical="center"/>
    </xf>
    <xf numFmtId="44" fontId="30" fillId="0" borderId="46" xfId="0" applyNumberFormat="1" applyFont="1" applyFill="1" applyBorder="1" applyAlignment="1">
      <alignment horizontal="center" vertical="center"/>
    </xf>
    <xf numFmtId="0" fontId="29" fillId="0" borderId="58" xfId="0" applyFont="1" applyBorder="1" applyAlignment="1">
      <alignment horizontal="center"/>
    </xf>
    <xf numFmtId="0" fontId="29" fillId="0" borderId="48" xfId="0" applyFont="1" applyBorder="1" applyAlignment="1">
      <alignment horizontal="center"/>
    </xf>
    <xf numFmtId="0" fontId="34" fillId="0" borderId="4" xfId="0" applyFont="1" applyBorder="1"/>
    <xf numFmtId="4" fontId="29" fillId="9" borderId="2" xfId="0" applyNumberFormat="1" applyFont="1" applyFill="1" applyBorder="1" applyAlignment="1">
      <alignment horizontal="center"/>
    </xf>
    <xf numFmtId="0" fontId="29" fillId="9" borderId="2" xfId="0" applyFont="1" applyFill="1" applyBorder="1" applyAlignment="1">
      <alignment horizontal="center"/>
    </xf>
    <xf numFmtId="165" fontId="29" fillId="0" borderId="2" xfId="0" applyNumberFormat="1" applyFont="1" applyFill="1" applyBorder="1" applyAlignment="1">
      <alignment horizontal="center" vertical="center"/>
    </xf>
    <xf numFmtId="165" fontId="29" fillId="0" borderId="25" xfId="0" applyNumberFormat="1" applyFont="1" applyFill="1" applyBorder="1" applyAlignment="1">
      <alignment horizontal="center" vertical="center" wrapText="1"/>
    </xf>
    <xf numFmtId="44" fontId="25" fillId="5" borderId="4" xfId="4" applyNumberFormat="1" applyBorder="1"/>
    <xf numFmtId="1" fontId="3" fillId="0" borderId="4" xfId="0" applyNumberFormat="1" applyFont="1" applyBorder="1" applyAlignment="1">
      <alignment horizontal="center"/>
    </xf>
    <xf numFmtId="165" fontId="33" fillId="0" borderId="63" xfId="0" applyNumberFormat="1" applyFont="1" applyFill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/>
    </xf>
    <xf numFmtId="4" fontId="30" fillId="9" borderId="2" xfId="0" applyNumberFormat="1" applyFont="1" applyFill="1" applyBorder="1" applyAlignment="1">
      <alignment horizontal="center"/>
    </xf>
    <xf numFmtId="4" fontId="31" fillId="9" borderId="2" xfId="0" applyNumberFormat="1" applyFont="1" applyFill="1" applyBorder="1" applyAlignment="1">
      <alignment horizontal="center"/>
    </xf>
    <xf numFmtId="44" fontId="4" fillId="0" borderId="16" xfId="0" applyNumberFormat="1" applyFont="1" applyBorder="1"/>
    <xf numFmtId="0" fontId="4" fillId="0" borderId="2" xfId="0" applyFont="1" applyBorder="1" applyAlignment="1">
      <alignment horizontal="center"/>
    </xf>
    <xf numFmtId="0" fontId="3" fillId="0" borderId="2" xfId="0" applyFont="1" applyBorder="1"/>
    <xf numFmtId="0" fontId="8" fillId="0" borderId="20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6" xfId="0" applyFont="1" applyBorder="1"/>
    <xf numFmtId="0" fontId="15" fillId="2" borderId="51" xfId="0" applyFont="1" applyFill="1" applyBorder="1" applyAlignment="1">
      <alignment horizontal="center" wrapText="1"/>
    </xf>
    <xf numFmtId="0" fontId="16" fillId="2" borderId="74" xfId="0" applyFont="1" applyFill="1" applyBorder="1" applyAlignment="1">
      <alignment horizontal="center" wrapText="1"/>
    </xf>
    <xf numFmtId="0" fontId="4" fillId="0" borderId="69" xfId="0" applyFont="1" applyBorder="1" applyAlignment="1">
      <alignment horizontal="center"/>
    </xf>
    <xf numFmtId="0" fontId="3" fillId="0" borderId="69" xfId="0" applyFont="1" applyBorder="1"/>
    <xf numFmtId="4" fontId="30" fillId="9" borderId="69" xfId="0" applyNumberFormat="1" applyFont="1" applyFill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4" fillId="0" borderId="78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5" fillId="0" borderId="79" xfId="0" applyFont="1" applyFill="1" applyBorder="1" applyAlignment="1">
      <alignment horizontal="center"/>
    </xf>
    <xf numFmtId="0" fontId="35" fillId="0" borderId="76" xfId="0" applyFont="1" applyFill="1" applyBorder="1" applyAlignment="1">
      <alignment horizontal="center"/>
    </xf>
    <xf numFmtId="0" fontId="3" fillId="0" borderId="76" xfId="0" applyFont="1" applyBorder="1"/>
    <xf numFmtId="44" fontId="4" fillId="0" borderId="76" xfId="1" applyFont="1" applyBorder="1" applyAlignment="1">
      <alignment horizontal="center"/>
    </xf>
    <xf numFmtId="44" fontId="2" fillId="0" borderId="80" xfId="0" applyNumberFormat="1" applyFont="1" applyBorder="1" applyAlignment="1">
      <alignment horizontal="center"/>
    </xf>
    <xf numFmtId="44" fontId="2" fillId="0" borderId="75" xfId="0" applyNumberFormat="1" applyFont="1" applyBorder="1" applyAlignment="1">
      <alignment horizontal="center"/>
    </xf>
    <xf numFmtId="9" fontId="0" fillId="0" borderId="81" xfId="2" applyFont="1" applyBorder="1" applyAlignment="1">
      <alignment horizontal="center"/>
    </xf>
    <xf numFmtId="9" fontId="0" fillId="0" borderId="82" xfId="2" applyFont="1" applyBorder="1" applyAlignment="1">
      <alignment horizontal="center"/>
    </xf>
    <xf numFmtId="44" fontId="0" fillId="0" borderId="2" xfId="0" applyNumberFormat="1" applyBorder="1"/>
    <xf numFmtId="9" fontId="0" fillId="0" borderId="2" xfId="2" applyNumberFormat="1" applyFont="1" applyBorder="1" applyAlignment="1">
      <alignment horizontal="center"/>
    </xf>
    <xf numFmtId="44" fontId="0" fillId="0" borderId="69" xfId="0" applyNumberFormat="1" applyBorder="1"/>
    <xf numFmtId="9" fontId="0" fillId="0" borderId="69" xfId="2" applyNumberFormat="1" applyFont="1" applyBorder="1" applyAlignment="1">
      <alignment horizontal="center"/>
    </xf>
    <xf numFmtId="44" fontId="4" fillId="0" borderId="76" xfId="0" applyNumberFormat="1" applyFont="1" applyBorder="1"/>
    <xf numFmtId="0" fontId="0" fillId="0" borderId="76" xfId="0" applyBorder="1"/>
    <xf numFmtId="0" fontId="0" fillId="0" borderId="83" xfId="0" applyBorder="1"/>
    <xf numFmtId="0" fontId="5" fillId="0" borderId="22" xfId="0" applyFont="1" applyFill="1" applyBorder="1" applyAlignment="1">
      <alignment horizontal="center"/>
    </xf>
    <xf numFmtId="0" fontId="0" fillId="9" borderId="1" xfId="0" applyFill="1" applyBorder="1" applyAlignment="1"/>
    <xf numFmtId="0" fontId="0" fillId="9" borderId="0" xfId="0" applyFill="1" applyBorder="1" applyAlignment="1"/>
    <xf numFmtId="0" fontId="0" fillId="9" borderId="19" xfId="0" applyFill="1" applyBorder="1" applyAlignment="1"/>
    <xf numFmtId="0" fontId="0" fillId="9" borderId="20" xfId="0" applyFill="1" applyBorder="1" applyAlignment="1"/>
    <xf numFmtId="0" fontId="0" fillId="0" borderId="0" xfId="0" applyAlignment="1"/>
    <xf numFmtId="0" fontId="36" fillId="0" borderId="2" xfId="0" applyFont="1" applyFill="1" applyBorder="1" applyAlignment="1">
      <alignment horizontal="left"/>
    </xf>
    <xf numFmtId="10" fontId="35" fillId="0" borderId="2" xfId="2" applyNumberFormat="1" applyFont="1" applyFill="1" applyBorder="1" applyAlignment="1">
      <alignment horizontal="right"/>
    </xf>
    <xf numFmtId="44" fontId="35" fillId="0" borderId="2" xfId="0" applyNumberFormat="1" applyFont="1" applyFill="1" applyBorder="1"/>
    <xf numFmtId="44" fontId="35" fillId="0" borderId="2" xfId="1" applyFont="1" applyFill="1" applyBorder="1"/>
    <xf numFmtId="0" fontId="8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7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center" wrapText="1"/>
    </xf>
    <xf numFmtId="0" fontId="15" fillId="2" borderId="16" xfId="0" applyFont="1" applyFill="1" applyBorder="1" applyAlignment="1">
      <alignment horizontal="center" wrapText="1"/>
    </xf>
    <xf numFmtId="0" fontId="15" fillId="2" borderId="21" xfId="0" applyFont="1" applyFill="1" applyBorder="1" applyAlignment="1">
      <alignment horizontal="center" wrapText="1"/>
    </xf>
    <xf numFmtId="0" fontId="15" fillId="2" borderId="22" xfId="0" applyFont="1" applyFill="1" applyBorder="1" applyAlignment="1">
      <alignment horizontal="center" wrapText="1"/>
    </xf>
    <xf numFmtId="44" fontId="3" fillId="0" borderId="63" xfId="0" applyNumberFormat="1" applyFont="1" applyBorder="1" applyAlignment="1">
      <alignment horizontal="center"/>
    </xf>
    <xf numFmtId="0" fontId="30" fillId="0" borderId="58" xfId="0" applyFont="1" applyBorder="1" applyAlignment="1">
      <alignment horizontal="center"/>
    </xf>
    <xf numFmtId="0" fontId="30" fillId="0" borderId="48" xfId="0" applyFont="1" applyBorder="1" applyAlignment="1">
      <alignment horizontal="center"/>
    </xf>
    <xf numFmtId="181" fontId="30" fillId="9" borderId="2" xfId="0" applyNumberFormat="1" applyFont="1" applyFill="1" applyBorder="1" applyAlignment="1">
      <alignment horizontal="center"/>
    </xf>
    <xf numFmtId="181" fontId="3" fillId="9" borderId="2" xfId="0" applyNumberFormat="1" applyFont="1" applyFill="1" applyBorder="1" applyAlignment="1">
      <alignment horizontal="center"/>
    </xf>
    <xf numFmtId="182" fontId="30" fillId="9" borderId="2" xfId="0" applyNumberFormat="1" applyFont="1" applyFill="1" applyBorder="1" applyAlignment="1">
      <alignment horizontal="center"/>
    </xf>
    <xf numFmtId="181" fontId="31" fillId="9" borderId="2" xfId="0" applyNumberFormat="1" applyFont="1" applyFill="1" applyBorder="1" applyAlignment="1">
      <alignment horizontal="center"/>
    </xf>
  </cellXfs>
  <cellStyles count="6">
    <cellStyle name="Bad" xfId="4" builtinId="27"/>
    <cellStyle name="Currency" xfId="1" builtinId="4"/>
    <cellStyle name="Good" xfId="3" builtinId="26"/>
    <cellStyle name="Normal" xfId="0" builtinId="0"/>
    <cellStyle name="Normal 2" xfId="5"/>
    <cellStyle name="Percent" xfId="2" builtinId="5"/>
  </cellStyles>
  <dxfs count="5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6633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499382</xdr:colOff>
      <xdr:row>1</xdr:row>
      <xdr:rowOff>571500</xdr:rowOff>
    </xdr:to>
    <xdr:pic>
      <xdr:nvPicPr>
        <xdr:cNvPr id="2" name="Picture 18" descr="H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5250"/>
          <a:ext cx="3347357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</xdr:row>
      <xdr:rowOff>19050</xdr:rowOff>
    </xdr:from>
    <xdr:to>
      <xdr:col>4</xdr:col>
      <xdr:colOff>718457</xdr:colOff>
      <xdr:row>1</xdr:row>
      <xdr:rowOff>590550</xdr:rowOff>
    </xdr:to>
    <xdr:pic>
      <xdr:nvPicPr>
        <xdr:cNvPr id="2" name="Picture 18" descr="H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14300"/>
          <a:ext cx="3347357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13607</xdr:colOff>
      <xdr:row>1</xdr:row>
      <xdr:rowOff>571500</xdr:rowOff>
    </xdr:to>
    <xdr:pic>
      <xdr:nvPicPr>
        <xdr:cNvPr id="2" name="Picture 18" descr="H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5250"/>
          <a:ext cx="3347357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66675</xdr:rowOff>
    </xdr:from>
    <xdr:to>
      <xdr:col>5</xdr:col>
      <xdr:colOff>228600</xdr:colOff>
      <xdr:row>1</xdr:row>
      <xdr:rowOff>733425</xdr:rowOff>
    </xdr:to>
    <xdr:pic>
      <xdr:nvPicPr>
        <xdr:cNvPr id="2" name="Picture 18" descr="H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66675"/>
          <a:ext cx="390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2"/>
  <sheetViews>
    <sheetView tabSelected="1" workbookViewId="0">
      <selection activeCell="D61" sqref="D61"/>
    </sheetView>
  </sheetViews>
  <sheetFormatPr defaultRowHeight="15" x14ac:dyDescent="0.25"/>
  <cols>
    <col min="1" max="1" width="5" customWidth="1"/>
    <col min="2" max="2" width="29.7109375" style="2" customWidth="1"/>
    <col min="3" max="3" width="13" customWidth="1"/>
    <col min="4" max="4" width="9" style="1" customWidth="1"/>
    <col min="5" max="5" width="11" style="1" customWidth="1"/>
    <col min="6" max="6" width="13.5703125" style="1" customWidth="1"/>
    <col min="7" max="7" width="12.42578125" style="1" customWidth="1"/>
    <col min="8" max="8" width="11.85546875" style="1" hidden="1" customWidth="1"/>
    <col min="9" max="9" width="11.28515625" hidden="1" customWidth="1"/>
    <col min="10" max="10" width="1.85546875" customWidth="1"/>
    <col min="11" max="11" width="15.42578125" customWidth="1"/>
    <col min="12" max="12" width="19.7109375" customWidth="1"/>
    <col min="13" max="13" width="14.28515625" customWidth="1"/>
    <col min="14" max="14" width="14.28515625" bestFit="1" customWidth="1"/>
    <col min="15" max="15" width="14.5703125" customWidth="1"/>
    <col min="16" max="17" width="19.7109375" customWidth="1"/>
    <col min="18" max="18" width="19.42578125" customWidth="1"/>
    <col min="19" max="19" width="6.5703125" customWidth="1"/>
    <col min="20" max="20" width="11" customWidth="1"/>
    <col min="21" max="21" width="9.140625" bestFit="1" customWidth="1"/>
    <col min="22" max="22" width="11.5703125" bestFit="1" customWidth="1"/>
    <col min="23" max="23" width="9" customWidth="1"/>
    <col min="24" max="24" width="11.7109375" customWidth="1"/>
    <col min="25" max="25" width="16.7109375" customWidth="1"/>
    <col min="26" max="26" width="22.140625" customWidth="1"/>
    <col min="27" max="27" width="46" customWidth="1"/>
  </cols>
  <sheetData>
    <row r="1" spans="1:27" ht="7.5" customHeight="1" x14ac:dyDescent="0.25">
      <c r="A1" s="95"/>
      <c r="B1" s="96"/>
      <c r="C1" s="96"/>
      <c r="D1" s="214" t="s">
        <v>6</v>
      </c>
      <c r="E1" s="214"/>
      <c r="F1" s="214"/>
      <c r="G1" s="214"/>
      <c r="H1" s="214"/>
      <c r="I1" s="214"/>
      <c r="J1" s="214"/>
      <c r="K1" s="214"/>
      <c r="L1" s="214"/>
      <c r="M1" s="210"/>
      <c r="N1" s="210"/>
      <c r="O1" s="210"/>
      <c r="P1" s="210"/>
      <c r="Q1" s="210"/>
      <c r="R1" s="211"/>
    </row>
    <row r="2" spans="1:27" ht="61.5" customHeight="1" thickBot="1" x14ac:dyDescent="0.3">
      <c r="A2" s="97"/>
      <c r="B2" s="98"/>
      <c r="C2" s="98"/>
      <c r="D2" s="215"/>
      <c r="E2" s="215"/>
      <c r="F2" s="215"/>
      <c r="G2" s="215"/>
      <c r="H2" s="215"/>
      <c r="I2" s="215"/>
      <c r="J2" s="215"/>
      <c r="K2" s="215"/>
      <c r="L2" s="215"/>
      <c r="M2" s="212"/>
      <c r="N2" s="212"/>
      <c r="O2" s="212"/>
      <c r="P2" s="212"/>
      <c r="Q2" s="212"/>
      <c r="R2" s="213"/>
      <c r="S2" s="11"/>
      <c r="T2" s="11"/>
      <c r="U2" s="11"/>
      <c r="V2" s="11"/>
    </row>
    <row r="3" spans="1:27" ht="33" customHeight="1" thickBot="1" x14ac:dyDescent="0.4">
      <c r="A3" s="207"/>
      <c r="B3" s="208"/>
      <c r="C3" s="208"/>
      <c r="D3" s="205" t="s">
        <v>46</v>
      </c>
      <c r="E3" s="205"/>
      <c r="F3" s="205"/>
      <c r="G3" s="205"/>
      <c r="H3" s="205"/>
      <c r="I3" s="205"/>
      <c r="J3" s="12"/>
      <c r="K3" s="205" t="s">
        <v>0</v>
      </c>
      <c r="L3" s="205"/>
      <c r="M3" s="205"/>
      <c r="N3" s="205"/>
      <c r="O3" s="205"/>
      <c r="P3" s="205"/>
      <c r="Q3" s="205"/>
      <c r="R3" s="206"/>
    </row>
    <row r="4" spans="1:27" ht="30.75" customHeight="1" x14ac:dyDescent="0.25">
      <c r="A4" s="223" t="s">
        <v>2</v>
      </c>
      <c r="B4" s="224"/>
      <c r="C4" s="9" t="s">
        <v>1</v>
      </c>
      <c r="D4" s="8" t="s">
        <v>3</v>
      </c>
      <c r="E4" s="8" t="s">
        <v>4</v>
      </c>
      <c r="F4" s="8" t="s">
        <v>7</v>
      </c>
      <c r="G4" s="8" t="s">
        <v>8</v>
      </c>
      <c r="H4" s="8"/>
      <c r="I4" s="10"/>
      <c r="J4" s="13"/>
      <c r="K4" s="100" t="s">
        <v>34</v>
      </c>
      <c r="L4" s="94" t="s">
        <v>41</v>
      </c>
      <c r="M4" s="94" t="s">
        <v>48</v>
      </c>
      <c r="N4" s="94" t="s">
        <v>49</v>
      </c>
      <c r="O4" s="122" t="s">
        <v>47</v>
      </c>
      <c r="P4" s="122" t="s">
        <v>42</v>
      </c>
      <c r="Q4" s="128" t="s">
        <v>53</v>
      </c>
      <c r="R4" s="126" t="s">
        <v>52</v>
      </c>
      <c r="T4" s="67"/>
      <c r="U4" s="67"/>
      <c r="V4" s="67"/>
      <c r="W4" s="67"/>
      <c r="X4" s="67"/>
      <c r="Y4" s="67"/>
      <c r="Z4" s="67"/>
      <c r="AA4" s="67"/>
    </row>
    <row r="5" spans="1:27" x14ac:dyDescent="0.25">
      <c r="A5" s="221" t="s">
        <v>71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43"/>
      <c r="T5" s="67"/>
      <c r="U5" s="67"/>
      <c r="V5" s="67"/>
      <c r="W5" s="67"/>
      <c r="X5" s="67"/>
      <c r="Y5" s="67"/>
      <c r="Z5" s="67"/>
      <c r="AA5" s="67"/>
    </row>
    <row r="6" spans="1:27" x14ac:dyDescent="0.25">
      <c r="A6" s="227" t="s">
        <v>72</v>
      </c>
      <c r="B6" s="228"/>
      <c r="C6" s="4" t="s">
        <v>73</v>
      </c>
      <c r="D6" s="231">
        <v>0.15</v>
      </c>
      <c r="E6" s="232" t="s">
        <v>5</v>
      </c>
      <c r="F6" s="233">
        <v>1215</v>
      </c>
      <c r="G6" s="234">
        <f>D6*F6</f>
        <v>182.25</v>
      </c>
      <c r="H6" s="5"/>
      <c r="I6" s="6"/>
      <c r="J6" s="13"/>
      <c r="K6" s="136">
        <f>'STEEL DOCKET ENTRY'!G52</f>
        <v>0</v>
      </c>
      <c r="L6" s="92">
        <f>SUM(K6*F6)</f>
        <v>0</v>
      </c>
      <c r="M6" s="121">
        <f>SUM(K6-D6)</f>
        <v>-0.15</v>
      </c>
      <c r="N6" s="99">
        <f>SUM(M6*F6)</f>
        <v>-182.25</v>
      </c>
      <c r="O6" s="121">
        <f>SUM(D6-K6)</f>
        <v>0.15</v>
      </c>
      <c r="P6" s="244">
        <f>SUM(G6-L6)</f>
        <v>182.25</v>
      </c>
      <c r="Q6" s="131"/>
      <c r="R6" s="124">
        <f>IF($G6=0,0,SUM($L6/$G6))</f>
        <v>0</v>
      </c>
    </row>
    <row r="7" spans="1:27" x14ac:dyDescent="0.25">
      <c r="A7" s="227" t="s">
        <v>74</v>
      </c>
      <c r="B7" s="228"/>
      <c r="C7" s="4" t="s">
        <v>75</v>
      </c>
      <c r="D7" s="231">
        <v>1.1892</v>
      </c>
      <c r="E7" s="232" t="s">
        <v>5</v>
      </c>
      <c r="F7" s="233">
        <v>1315</v>
      </c>
      <c r="G7" s="234">
        <f t="shared" ref="G7:G8" si="0">D7*F7</f>
        <v>1563.798</v>
      </c>
      <c r="H7" s="5"/>
      <c r="I7" s="6"/>
      <c r="J7" s="13"/>
      <c r="K7" s="136">
        <f>'STEEL DOCKET ENTRY'!H52</f>
        <v>0</v>
      </c>
      <c r="L7" s="92">
        <f>F7*K7</f>
        <v>0</v>
      </c>
      <c r="M7" s="121">
        <f t="shared" ref="M7:M17" si="1">SUM(K7-D7)</f>
        <v>-1.1892</v>
      </c>
      <c r="N7" s="99">
        <f t="shared" ref="N7:N17" si="2">SUM(M7*F7)</f>
        <v>-1563.798</v>
      </c>
      <c r="O7" s="121">
        <f t="shared" ref="O7:O17" si="3">SUM(D7-K7)</f>
        <v>1.1892</v>
      </c>
      <c r="P7" s="99">
        <f t="shared" ref="P7:P17" si="4">SUM(G7-L7)</f>
        <v>1563.798</v>
      </c>
      <c r="Q7" s="131"/>
      <c r="R7" s="124">
        <f t="shared" ref="R7:R43" si="5">IF($G7=0,0,SUM($L7/$G7))</f>
        <v>0</v>
      </c>
    </row>
    <row r="8" spans="1:27" x14ac:dyDescent="0.25">
      <c r="A8" s="227" t="s">
        <v>74</v>
      </c>
      <c r="B8" s="228"/>
      <c r="C8" s="4" t="s">
        <v>144</v>
      </c>
      <c r="D8" s="359">
        <v>3.7631000000000001</v>
      </c>
      <c r="E8" s="232" t="s">
        <v>5</v>
      </c>
      <c r="F8" s="233">
        <v>1215</v>
      </c>
      <c r="G8" s="234">
        <f t="shared" si="0"/>
        <v>4572.1665000000003</v>
      </c>
      <c r="H8" s="5"/>
      <c r="I8" s="6"/>
      <c r="J8" s="13"/>
      <c r="K8" s="101">
        <f>'STEEL DOCKET ENTRY'!L52</f>
        <v>0</v>
      </c>
      <c r="L8" s="92">
        <f t="shared" ref="L8:L67" si="6">SUM(K8*F8)</f>
        <v>0</v>
      </c>
      <c r="M8" s="121">
        <f t="shared" si="1"/>
        <v>-3.7631000000000001</v>
      </c>
      <c r="N8" s="99">
        <f t="shared" si="2"/>
        <v>-4572.1665000000003</v>
      </c>
      <c r="O8" s="121">
        <f t="shared" si="3"/>
        <v>3.7631000000000001</v>
      </c>
      <c r="P8" s="99">
        <f t="shared" si="4"/>
        <v>4572.1665000000003</v>
      </c>
      <c r="Q8" s="131"/>
      <c r="R8" s="124">
        <f t="shared" si="5"/>
        <v>0</v>
      </c>
    </row>
    <row r="9" spans="1:27" x14ac:dyDescent="0.25">
      <c r="A9" s="227" t="s">
        <v>78</v>
      </c>
      <c r="B9" s="228"/>
      <c r="C9" s="4" t="s">
        <v>144</v>
      </c>
      <c r="D9" s="357">
        <v>1.1047</v>
      </c>
      <c r="E9" s="232" t="s">
        <v>5</v>
      </c>
      <c r="F9" s="233">
        <v>1215</v>
      </c>
      <c r="G9" s="234">
        <f>D9*F9</f>
        <v>1342.2104999999999</v>
      </c>
      <c r="H9" s="5"/>
      <c r="I9" s="6"/>
      <c r="J9" s="13"/>
      <c r="K9" s="101">
        <f>'STEEL DOCKET ENTRY'!Q52</f>
        <v>0</v>
      </c>
      <c r="L9" s="92">
        <f t="shared" si="6"/>
        <v>0</v>
      </c>
      <c r="M9" s="121">
        <f t="shared" si="1"/>
        <v>-1.1047</v>
      </c>
      <c r="N9" s="99">
        <f t="shared" si="2"/>
        <v>-1342.2104999999999</v>
      </c>
      <c r="O9" s="121">
        <f t="shared" si="3"/>
        <v>1.1047</v>
      </c>
      <c r="P9" s="99">
        <f t="shared" si="4"/>
        <v>1342.2104999999999</v>
      </c>
      <c r="Q9" s="131"/>
      <c r="R9" s="124">
        <f t="shared" si="5"/>
        <v>0</v>
      </c>
    </row>
    <row r="10" spans="1:27" x14ac:dyDescent="0.25">
      <c r="A10" s="227" t="s">
        <v>79</v>
      </c>
      <c r="B10" s="228"/>
      <c r="C10" s="4" t="s">
        <v>76</v>
      </c>
      <c r="D10" s="360">
        <v>1.8743000000000001</v>
      </c>
      <c r="E10" s="236" t="s">
        <v>5</v>
      </c>
      <c r="F10" s="233">
        <v>1215</v>
      </c>
      <c r="G10" s="234">
        <f>D10*F10</f>
        <v>2277.2745</v>
      </c>
      <c r="H10" s="5"/>
      <c r="I10" s="6"/>
      <c r="J10" s="13"/>
      <c r="K10" s="101">
        <f>'STEEL DOCKET ENTRY'!V52</f>
        <v>0</v>
      </c>
      <c r="L10" s="92">
        <f>SUM(K10*F10)</f>
        <v>0</v>
      </c>
      <c r="M10" s="121">
        <f t="shared" si="1"/>
        <v>-1.8743000000000001</v>
      </c>
      <c r="N10" s="99">
        <f t="shared" si="2"/>
        <v>-2277.2745</v>
      </c>
      <c r="O10" s="121">
        <f t="shared" si="3"/>
        <v>1.8743000000000001</v>
      </c>
      <c r="P10" s="99">
        <f t="shared" si="4"/>
        <v>2277.2745</v>
      </c>
      <c r="Q10" s="131"/>
      <c r="R10" s="124">
        <f t="shared" si="5"/>
        <v>0</v>
      </c>
    </row>
    <row r="11" spans="1:27" x14ac:dyDescent="0.25">
      <c r="A11" s="227" t="s">
        <v>130</v>
      </c>
      <c r="B11" s="228"/>
      <c r="C11" s="4" t="s">
        <v>129</v>
      </c>
      <c r="D11" s="231">
        <f>(502.36/1.6)*1.15</f>
        <v>361.07124999999991</v>
      </c>
      <c r="E11" s="232" t="s">
        <v>89</v>
      </c>
      <c r="F11" s="233">
        <v>14</v>
      </c>
      <c r="G11" s="234">
        <f t="shared" ref="G11:G14" si="7">D11*F11</f>
        <v>5054.9974999999986</v>
      </c>
      <c r="H11" s="5"/>
      <c r="I11" s="6"/>
      <c r="J11" s="13"/>
      <c r="K11" s="101"/>
      <c r="L11" s="92">
        <f t="shared" ref="L11:L51" si="8">SUM(K11*F11)</f>
        <v>0</v>
      </c>
      <c r="M11" s="121">
        <f t="shared" si="1"/>
        <v>-361.07124999999991</v>
      </c>
      <c r="N11" s="99">
        <f t="shared" si="2"/>
        <v>-5054.9974999999986</v>
      </c>
      <c r="O11" s="121">
        <f t="shared" si="3"/>
        <v>361.07124999999991</v>
      </c>
      <c r="P11" s="99">
        <f t="shared" si="4"/>
        <v>5054.9974999999986</v>
      </c>
      <c r="Q11" s="131"/>
      <c r="R11" s="124">
        <f t="shared" si="5"/>
        <v>0</v>
      </c>
    </row>
    <row r="12" spans="1:27" x14ac:dyDescent="0.25">
      <c r="A12" s="227" t="s">
        <v>130</v>
      </c>
      <c r="B12" s="228"/>
      <c r="C12" s="4" t="s">
        <v>131</v>
      </c>
      <c r="D12" s="231">
        <f>(37.27/1.6)*1.15</f>
        <v>26.787812499999998</v>
      </c>
      <c r="E12" s="232" t="s">
        <v>89</v>
      </c>
      <c r="F12" s="233">
        <v>9.1999999999999993</v>
      </c>
      <c r="G12" s="234">
        <f t="shared" si="7"/>
        <v>246.44787499999995</v>
      </c>
      <c r="H12" s="5"/>
      <c r="I12" s="6"/>
      <c r="J12" s="13"/>
      <c r="K12" s="101"/>
      <c r="L12" s="92">
        <f t="shared" si="8"/>
        <v>0</v>
      </c>
      <c r="M12" s="121">
        <f t="shared" si="1"/>
        <v>-26.787812499999998</v>
      </c>
      <c r="N12" s="99">
        <f t="shared" si="2"/>
        <v>-246.44787499999995</v>
      </c>
      <c r="O12" s="121">
        <f t="shared" si="3"/>
        <v>26.787812499999998</v>
      </c>
      <c r="P12" s="99">
        <f t="shared" si="4"/>
        <v>246.44787499999995</v>
      </c>
      <c r="Q12" s="131"/>
      <c r="R12" s="124">
        <f t="shared" si="5"/>
        <v>0</v>
      </c>
    </row>
    <row r="13" spans="1:27" x14ac:dyDescent="0.25">
      <c r="A13" s="227" t="s">
        <v>130</v>
      </c>
      <c r="B13" s="228"/>
      <c r="C13" s="4" t="s">
        <v>132</v>
      </c>
      <c r="D13" s="231">
        <v>388</v>
      </c>
      <c r="E13" s="232" t="s">
        <v>89</v>
      </c>
      <c r="F13" s="233">
        <v>0.9</v>
      </c>
      <c r="G13" s="234">
        <f t="shared" si="7"/>
        <v>349.2</v>
      </c>
      <c r="H13" s="5"/>
      <c r="I13" s="6"/>
      <c r="J13" s="13"/>
      <c r="K13" s="101"/>
      <c r="L13" s="92">
        <f t="shared" si="8"/>
        <v>0</v>
      </c>
      <c r="M13" s="121">
        <f t="shared" si="1"/>
        <v>-388</v>
      </c>
      <c r="N13" s="99">
        <f t="shared" si="2"/>
        <v>-349.2</v>
      </c>
      <c r="O13" s="121">
        <f t="shared" si="3"/>
        <v>388</v>
      </c>
      <c r="P13" s="99">
        <f t="shared" si="4"/>
        <v>349.2</v>
      </c>
      <c r="Q13" s="131"/>
      <c r="R13" s="124">
        <f t="shared" si="5"/>
        <v>0</v>
      </c>
    </row>
    <row r="14" spans="1:27" x14ac:dyDescent="0.25">
      <c r="A14" s="227" t="s">
        <v>130</v>
      </c>
      <c r="B14" s="228"/>
      <c r="C14" s="4" t="s">
        <v>133</v>
      </c>
      <c r="D14" s="231">
        <f>388/2</f>
        <v>194</v>
      </c>
      <c r="E14" s="232" t="s">
        <v>89</v>
      </c>
      <c r="F14" s="233">
        <v>0.75</v>
      </c>
      <c r="G14" s="234">
        <f t="shared" si="7"/>
        <v>145.5</v>
      </c>
      <c r="H14" s="5"/>
      <c r="I14" s="6"/>
      <c r="J14" s="13"/>
      <c r="K14" s="101"/>
      <c r="L14" s="92">
        <f t="shared" si="8"/>
        <v>0</v>
      </c>
      <c r="M14" s="121">
        <f t="shared" si="1"/>
        <v>-194</v>
      </c>
      <c r="N14" s="99">
        <f t="shared" si="2"/>
        <v>-145.5</v>
      </c>
      <c r="O14" s="121">
        <f t="shared" si="3"/>
        <v>194</v>
      </c>
      <c r="P14" s="99">
        <f t="shared" si="4"/>
        <v>145.5</v>
      </c>
      <c r="Q14" s="131"/>
      <c r="R14" s="124">
        <f t="shared" si="5"/>
        <v>0</v>
      </c>
    </row>
    <row r="15" spans="1:27" x14ac:dyDescent="0.25">
      <c r="A15" s="227" t="s">
        <v>84</v>
      </c>
      <c r="B15" s="228"/>
      <c r="C15" s="4" t="s">
        <v>85</v>
      </c>
      <c r="D15" s="239">
        <v>0.24</v>
      </c>
      <c r="E15" s="232" t="s">
        <v>5</v>
      </c>
      <c r="F15" s="233">
        <v>1215</v>
      </c>
      <c r="G15" s="234">
        <f t="shared" ref="G15:G17" si="9">D15*F15</f>
        <v>291.59999999999997</v>
      </c>
      <c r="H15" s="5"/>
      <c r="I15" s="6"/>
      <c r="J15" s="13"/>
      <c r="K15" s="101"/>
      <c r="L15" s="92">
        <f t="shared" si="8"/>
        <v>0</v>
      </c>
      <c r="M15" s="121">
        <f t="shared" si="1"/>
        <v>-0.24</v>
      </c>
      <c r="N15" s="99">
        <f t="shared" si="2"/>
        <v>-291.59999999999997</v>
      </c>
      <c r="O15" s="121">
        <f t="shared" si="3"/>
        <v>0.24</v>
      </c>
      <c r="P15" s="99">
        <f t="shared" si="4"/>
        <v>291.59999999999997</v>
      </c>
      <c r="Q15" s="131"/>
      <c r="R15" s="124">
        <f t="shared" si="5"/>
        <v>0</v>
      </c>
    </row>
    <row r="16" spans="1:27" x14ac:dyDescent="0.25">
      <c r="A16" s="227" t="s">
        <v>86</v>
      </c>
      <c r="B16" s="228"/>
      <c r="C16" s="4" t="s">
        <v>75</v>
      </c>
      <c r="D16" s="239">
        <f>0.05*1.05</f>
        <v>5.2500000000000005E-2</v>
      </c>
      <c r="E16" s="232" t="s">
        <v>5</v>
      </c>
      <c r="F16" s="233">
        <v>1315</v>
      </c>
      <c r="G16" s="234">
        <f t="shared" si="9"/>
        <v>69.037500000000009</v>
      </c>
      <c r="H16" s="5"/>
      <c r="I16" s="6"/>
      <c r="J16" s="13"/>
      <c r="K16" s="101"/>
      <c r="L16" s="92">
        <f t="shared" si="8"/>
        <v>0</v>
      </c>
      <c r="M16" s="121">
        <f t="shared" si="1"/>
        <v>-5.2500000000000005E-2</v>
      </c>
      <c r="N16" s="99">
        <f t="shared" si="2"/>
        <v>-69.037500000000009</v>
      </c>
      <c r="O16" s="121">
        <f t="shared" si="3"/>
        <v>5.2500000000000005E-2</v>
      </c>
      <c r="P16" s="99">
        <f t="shared" si="4"/>
        <v>69.037500000000009</v>
      </c>
      <c r="Q16" s="131"/>
      <c r="R16" s="124">
        <f t="shared" si="5"/>
        <v>0</v>
      </c>
    </row>
    <row r="17" spans="1:18" x14ac:dyDescent="0.25">
      <c r="A17" s="227" t="s">
        <v>86</v>
      </c>
      <c r="B17" s="228"/>
      <c r="C17" s="4" t="s">
        <v>73</v>
      </c>
      <c r="D17" s="239">
        <f>(0.21+0.0256)*1.05</f>
        <v>0.24738000000000002</v>
      </c>
      <c r="E17" s="232" t="s">
        <v>5</v>
      </c>
      <c r="F17" s="233">
        <v>1215</v>
      </c>
      <c r="G17" s="234">
        <f t="shared" si="9"/>
        <v>300.56670000000003</v>
      </c>
      <c r="H17" s="5"/>
      <c r="I17" s="6"/>
      <c r="J17" s="13"/>
      <c r="K17" s="101"/>
      <c r="L17" s="92">
        <f t="shared" si="8"/>
        <v>0</v>
      </c>
      <c r="M17" s="121">
        <f t="shared" si="1"/>
        <v>-0.24738000000000002</v>
      </c>
      <c r="N17" s="99">
        <f t="shared" si="2"/>
        <v>-300.56670000000003</v>
      </c>
      <c r="O17" s="121">
        <f t="shared" si="3"/>
        <v>0.24738000000000002</v>
      </c>
      <c r="P17" s="99">
        <f t="shared" si="4"/>
        <v>300.56670000000003</v>
      </c>
      <c r="Q17" s="131"/>
      <c r="R17" s="124">
        <f t="shared" si="5"/>
        <v>0</v>
      </c>
    </row>
    <row r="18" spans="1:18" x14ac:dyDescent="0.25">
      <c r="A18" s="221" t="s">
        <v>90</v>
      </c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43"/>
    </row>
    <row r="19" spans="1:18" x14ac:dyDescent="0.25">
      <c r="A19" s="227" t="s">
        <v>91</v>
      </c>
      <c r="B19" s="228"/>
      <c r="C19" s="4" t="s">
        <v>144</v>
      </c>
      <c r="D19" s="358">
        <v>1.0101</v>
      </c>
      <c r="E19" s="232" t="s">
        <v>5</v>
      </c>
      <c r="F19" s="233">
        <v>1215</v>
      </c>
      <c r="G19" s="234">
        <f t="shared" ref="G19" si="10">D19*F19</f>
        <v>1227.2715000000001</v>
      </c>
      <c r="H19" s="5"/>
      <c r="I19" s="6"/>
      <c r="J19" s="13"/>
      <c r="K19" s="101"/>
      <c r="L19" s="92">
        <f t="shared" si="8"/>
        <v>0</v>
      </c>
      <c r="M19" s="121">
        <f t="shared" ref="M19:M57" si="11">SUM(K19-D19)</f>
        <v>-1.0101</v>
      </c>
      <c r="N19" s="99">
        <f t="shared" ref="N19:N57" si="12">SUM(M19*F19)</f>
        <v>-1227.2715000000001</v>
      </c>
      <c r="O19" s="121">
        <f t="shared" ref="O19:O57" si="13">SUM(D19-K19)</f>
        <v>1.0101</v>
      </c>
      <c r="P19" s="99">
        <f t="shared" ref="P19:P57" si="14">SUM(G19-L19)</f>
        <v>1227.2715000000001</v>
      </c>
      <c r="Q19" s="131"/>
      <c r="R19" s="124">
        <f t="shared" si="5"/>
        <v>0</v>
      </c>
    </row>
    <row r="20" spans="1:18" x14ac:dyDescent="0.25">
      <c r="A20" s="227" t="s">
        <v>130</v>
      </c>
      <c r="B20" s="228"/>
      <c r="C20" s="4" t="s">
        <v>135</v>
      </c>
      <c r="D20" s="239">
        <f>(186.18/1.6)*1.15</f>
        <v>133.81687499999998</v>
      </c>
      <c r="E20" s="232" t="s">
        <v>89</v>
      </c>
      <c r="F20" s="233">
        <v>7.7</v>
      </c>
      <c r="G20" s="234">
        <f t="shared" ref="G20:G23" si="15">D20*F20</f>
        <v>1030.3899374999999</v>
      </c>
      <c r="H20" s="5"/>
      <c r="I20" s="6"/>
      <c r="J20" s="13"/>
      <c r="K20" s="101"/>
      <c r="L20" s="92">
        <f t="shared" si="8"/>
        <v>0</v>
      </c>
      <c r="M20" s="121">
        <f t="shared" si="11"/>
        <v>-133.81687499999998</v>
      </c>
      <c r="N20" s="99">
        <f t="shared" si="12"/>
        <v>-1030.3899374999999</v>
      </c>
      <c r="O20" s="121">
        <f t="shared" si="13"/>
        <v>133.81687499999998</v>
      </c>
      <c r="P20" s="99">
        <f t="shared" si="14"/>
        <v>1030.3899374999999</v>
      </c>
      <c r="Q20" s="131"/>
      <c r="R20" s="124">
        <f t="shared" si="5"/>
        <v>0</v>
      </c>
    </row>
    <row r="21" spans="1:18" x14ac:dyDescent="0.25">
      <c r="A21" s="227" t="s">
        <v>130</v>
      </c>
      <c r="B21" s="228"/>
      <c r="C21" s="4" t="s">
        <v>136</v>
      </c>
      <c r="D21" s="239">
        <f>(23.66/1.6)*1.15</f>
        <v>17.005624999999998</v>
      </c>
      <c r="E21" s="232" t="s">
        <v>89</v>
      </c>
      <c r="F21" s="233">
        <v>17.5</v>
      </c>
      <c r="G21" s="234">
        <f t="shared" si="15"/>
        <v>297.59843749999999</v>
      </c>
      <c r="H21" s="5"/>
      <c r="I21" s="6"/>
      <c r="J21" s="13"/>
      <c r="K21" s="101"/>
      <c r="L21" s="92">
        <f t="shared" si="8"/>
        <v>0</v>
      </c>
      <c r="M21" s="121">
        <f t="shared" si="11"/>
        <v>-17.005624999999998</v>
      </c>
      <c r="N21" s="99">
        <f t="shared" si="12"/>
        <v>-297.59843749999999</v>
      </c>
      <c r="O21" s="121">
        <f t="shared" si="13"/>
        <v>17.005624999999998</v>
      </c>
      <c r="P21" s="99">
        <f t="shared" si="14"/>
        <v>297.59843749999999</v>
      </c>
      <c r="Q21" s="131"/>
      <c r="R21" s="124">
        <f t="shared" si="5"/>
        <v>0</v>
      </c>
    </row>
    <row r="22" spans="1:18" x14ac:dyDescent="0.25">
      <c r="A22" s="227" t="s">
        <v>134</v>
      </c>
      <c r="B22" s="228"/>
      <c r="C22" s="4" t="s">
        <v>132</v>
      </c>
      <c r="D22" s="239">
        <v>134</v>
      </c>
      <c r="E22" s="232" t="s">
        <v>89</v>
      </c>
      <c r="F22" s="233">
        <v>0.9</v>
      </c>
      <c r="G22" s="234">
        <f t="shared" si="15"/>
        <v>120.60000000000001</v>
      </c>
      <c r="H22" s="5"/>
      <c r="I22" s="6"/>
      <c r="J22" s="13"/>
      <c r="K22" s="101"/>
      <c r="L22" s="92">
        <f t="shared" si="8"/>
        <v>0</v>
      </c>
      <c r="M22" s="121">
        <f t="shared" si="11"/>
        <v>-134</v>
      </c>
      <c r="N22" s="99">
        <f t="shared" si="12"/>
        <v>-120.60000000000001</v>
      </c>
      <c r="O22" s="121">
        <f t="shared" si="13"/>
        <v>134</v>
      </c>
      <c r="P22" s="99">
        <f t="shared" si="14"/>
        <v>120.60000000000001</v>
      </c>
      <c r="Q22" s="131"/>
      <c r="R22" s="124">
        <f t="shared" si="5"/>
        <v>0</v>
      </c>
    </row>
    <row r="23" spans="1:18" x14ac:dyDescent="0.25">
      <c r="A23" s="227" t="s">
        <v>134</v>
      </c>
      <c r="B23" s="228"/>
      <c r="C23" s="4" t="s">
        <v>133</v>
      </c>
      <c r="D23" s="239">
        <f>D22/2</f>
        <v>67</v>
      </c>
      <c r="E23" s="232" t="s">
        <v>89</v>
      </c>
      <c r="F23" s="233">
        <v>0.75</v>
      </c>
      <c r="G23" s="234">
        <f t="shared" si="15"/>
        <v>50.25</v>
      </c>
      <c r="H23" s="5"/>
      <c r="I23" s="6"/>
      <c r="J23" s="13"/>
      <c r="K23" s="101"/>
      <c r="L23" s="92">
        <f t="shared" si="8"/>
        <v>0</v>
      </c>
      <c r="M23" s="121">
        <f t="shared" si="11"/>
        <v>-67</v>
      </c>
      <c r="N23" s="99">
        <f t="shared" si="12"/>
        <v>-50.25</v>
      </c>
      <c r="O23" s="121">
        <f t="shared" si="13"/>
        <v>67</v>
      </c>
      <c r="P23" s="99">
        <f t="shared" si="14"/>
        <v>50.25</v>
      </c>
      <c r="Q23" s="131"/>
      <c r="R23" s="124">
        <f t="shared" si="5"/>
        <v>0</v>
      </c>
    </row>
    <row r="24" spans="1:18" x14ac:dyDescent="0.25">
      <c r="A24" s="221" t="s">
        <v>93</v>
      </c>
      <c r="B24" s="222"/>
      <c r="C24" s="222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43"/>
    </row>
    <row r="25" spans="1:18" x14ac:dyDescent="0.25">
      <c r="A25" s="227" t="s">
        <v>72</v>
      </c>
      <c r="B25" s="228"/>
      <c r="C25" s="4" t="s">
        <v>73</v>
      </c>
      <c r="D25" s="231">
        <v>2.33</v>
      </c>
      <c r="E25" s="232" t="s">
        <v>5</v>
      </c>
      <c r="F25" s="233">
        <v>1215</v>
      </c>
      <c r="G25" s="234">
        <f t="shared" ref="G25:G32" si="16">D25*F25</f>
        <v>2830.9500000000003</v>
      </c>
      <c r="H25" s="5"/>
      <c r="I25" s="6"/>
      <c r="J25" s="13"/>
      <c r="K25" s="136">
        <f>'REO SUPPLY ENTRY'!K41</f>
        <v>1.768</v>
      </c>
      <c r="L25" s="92">
        <f t="shared" si="8"/>
        <v>2148.12</v>
      </c>
      <c r="M25" s="121">
        <f t="shared" si="11"/>
        <v>-0.56200000000000006</v>
      </c>
      <c r="N25" s="99">
        <f t="shared" si="12"/>
        <v>-682.83</v>
      </c>
      <c r="O25" s="121">
        <f t="shared" si="13"/>
        <v>0.56200000000000006</v>
      </c>
      <c r="P25" s="99">
        <f t="shared" si="14"/>
        <v>682.83000000000038</v>
      </c>
      <c r="Q25" s="131"/>
      <c r="R25" s="124">
        <f t="shared" si="5"/>
        <v>0.75879828326180243</v>
      </c>
    </row>
    <row r="26" spans="1:18" x14ac:dyDescent="0.25">
      <c r="A26" s="227" t="s">
        <v>74</v>
      </c>
      <c r="B26" s="228"/>
      <c r="C26" s="4" t="s">
        <v>75</v>
      </c>
      <c r="D26" s="231">
        <v>2.16</v>
      </c>
      <c r="E26" s="232" t="s">
        <v>5</v>
      </c>
      <c r="F26" s="233">
        <v>1315</v>
      </c>
      <c r="G26" s="234">
        <f t="shared" si="16"/>
        <v>2840.4</v>
      </c>
      <c r="H26" s="5"/>
      <c r="I26" s="6"/>
      <c r="J26" s="13"/>
      <c r="K26" s="101"/>
      <c r="L26" s="92">
        <f t="shared" si="8"/>
        <v>0</v>
      </c>
      <c r="M26" s="121">
        <f t="shared" si="11"/>
        <v>-2.16</v>
      </c>
      <c r="N26" s="99">
        <f t="shared" si="12"/>
        <v>-2840.4</v>
      </c>
      <c r="O26" s="121">
        <f t="shared" si="13"/>
        <v>2.16</v>
      </c>
      <c r="P26" s="99">
        <f t="shared" si="14"/>
        <v>2840.4</v>
      </c>
      <c r="Q26" s="131"/>
      <c r="R26" s="124">
        <f t="shared" si="5"/>
        <v>0</v>
      </c>
    </row>
    <row r="27" spans="1:18" x14ac:dyDescent="0.25">
      <c r="A27" s="227" t="s">
        <v>74</v>
      </c>
      <c r="B27" s="228"/>
      <c r="C27" s="4" t="s">
        <v>144</v>
      </c>
      <c r="D27" s="231">
        <v>7.5476000000000001</v>
      </c>
      <c r="E27" s="232" t="s">
        <v>5</v>
      </c>
      <c r="F27" s="233">
        <v>1215</v>
      </c>
      <c r="G27" s="234">
        <f t="shared" si="16"/>
        <v>9170.3340000000007</v>
      </c>
      <c r="H27" s="5"/>
      <c r="I27" s="6"/>
      <c r="J27" s="13"/>
      <c r="K27" s="101"/>
      <c r="L27" s="92">
        <f t="shared" si="8"/>
        <v>0</v>
      </c>
      <c r="M27" s="121">
        <f t="shared" si="11"/>
        <v>-7.5476000000000001</v>
      </c>
      <c r="N27" s="99">
        <f t="shared" si="12"/>
        <v>-9170.3340000000007</v>
      </c>
      <c r="O27" s="121">
        <f t="shared" si="13"/>
        <v>7.5476000000000001</v>
      </c>
      <c r="P27" s="99">
        <f t="shared" si="14"/>
        <v>9170.3340000000007</v>
      </c>
      <c r="Q27" s="131"/>
      <c r="R27" s="124">
        <f t="shared" si="5"/>
        <v>0</v>
      </c>
    </row>
    <row r="28" spans="1:18" x14ac:dyDescent="0.25">
      <c r="A28" s="227" t="s">
        <v>79</v>
      </c>
      <c r="B28" s="228"/>
      <c r="C28" s="4" t="s">
        <v>76</v>
      </c>
      <c r="D28" s="231">
        <v>0.23</v>
      </c>
      <c r="E28" s="232" t="s">
        <v>5</v>
      </c>
      <c r="F28" s="233">
        <v>1215</v>
      </c>
      <c r="G28" s="234">
        <f t="shared" si="16"/>
        <v>279.45</v>
      </c>
      <c r="H28" s="5"/>
      <c r="I28" s="6"/>
      <c r="J28" s="13"/>
      <c r="K28" s="101"/>
      <c r="L28" s="92">
        <f t="shared" si="8"/>
        <v>0</v>
      </c>
      <c r="M28" s="121">
        <f t="shared" si="11"/>
        <v>-0.23</v>
      </c>
      <c r="N28" s="99">
        <f t="shared" si="12"/>
        <v>-279.45</v>
      </c>
      <c r="O28" s="121">
        <f t="shared" si="13"/>
        <v>0.23</v>
      </c>
      <c r="P28" s="99">
        <f t="shared" si="14"/>
        <v>279.45</v>
      </c>
      <c r="Q28" s="131"/>
      <c r="R28" s="124">
        <f t="shared" si="5"/>
        <v>0</v>
      </c>
    </row>
    <row r="29" spans="1:18" x14ac:dyDescent="0.25">
      <c r="A29" s="227" t="s">
        <v>128</v>
      </c>
      <c r="B29" s="228"/>
      <c r="C29" s="4" t="s">
        <v>131</v>
      </c>
      <c r="D29" s="231">
        <v>43</v>
      </c>
      <c r="E29" s="232" t="s">
        <v>89</v>
      </c>
      <c r="F29" s="233">
        <v>9.1999999999999993</v>
      </c>
      <c r="G29" s="234">
        <f t="shared" si="16"/>
        <v>395.59999999999997</v>
      </c>
      <c r="H29" s="5"/>
      <c r="I29" s="6"/>
      <c r="J29" s="13"/>
      <c r="K29" s="101"/>
      <c r="L29" s="92">
        <f t="shared" si="8"/>
        <v>0</v>
      </c>
      <c r="M29" s="121">
        <f t="shared" si="11"/>
        <v>-43</v>
      </c>
      <c r="N29" s="99">
        <f t="shared" si="12"/>
        <v>-395.59999999999997</v>
      </c>
      <c r="O29" s="121">
        <f t="shared" si="13"/>
        <v>43</v>
      </c>
      <c r="P29" s="99">
        <f t="shared" si="14"/>
        <v>395.59999999999997</v>
      </c>
      <c r="Q29" s="131"/>
      <c r="R29" s="124">
        <f t="shared" si="5"/>
        <v>0</v>
      </c>
    </row>
    <row r="30" spans="1:18" x14ac:dyDescent="0.25">
      <c r="A30" s="227" t="s">
        <v>128</v>
      </c>
      <c r="B30" s="228"/>
      <c r="C30" s="4" t="s">
        <v>129</v>
      </c>
      <c r="D30" s="231">
        <f>969.99*1.15</f>
        <v>1115.4884999999999</v>
      </c>
      <c r="E30" s="232" t="s">
        <v>89</v>
      </c>
      <c r="F30" s="233">
        <v>14</v>
      </c>
      <c r="G30" s="234">
        <f t="shared" si="16"/>
        <v>15616.839</v>
      </c>
      <c r="H30" s="5"/>
      <c r="I30" s="6"/>
      <c r="J30" s="13"/>
      <c r="K30" s="101"/>
      <c r="L30" s="92">
        <f t="shared" si="8"/>
        <v>0</v>
      </c>
      <c r="M30" s="121">
        <f t="shared" si="11"/>
        <v>-1115.4884999999999</v>
      </c>
      <c r="N30" s="99">
        <f t="shared" si="12"/>
        <v>-15616.839</v>
      </c>
      <c r="O30" s="121">
        <f t="shared" si="13"/>
        <v>1115.4884999999999</v>
      </c>
      <c r="P30" s="99">
        <f t="shared" si="14"/>
        <v>15616.839</v>
      </c>
      <c r="Q30" s="131"/>
      <c r="R30" s="124">
        <f t="shared" si="5"/>
        <v>0</v>
      </c>
    </row>
    <row r="31" spans="1:18" x14ac:dyDescent="0.25">
      <c r="A31" s="227" t="s">
        <v>134</v>
      </c>
      <c r="B31" s="228"/>
      <c r="C31" s="4" t="s">
        <v>132</v>
      </c>
      <c r="D31" s="231">
        <v>1116</v>
      </c>
      <c r="E31" s="232" t="s">
        <v>89</v>
      </c>
      <c r="F31" s="233">
        <v>0.9</v>
      </c>
      <c r="G31" s="234">
        <f t="shared" si="16"/>
        <v>1004.4</v>
      </c>
      <c r="H31" s="5"/>
      <c r="I31" s="6"/>
      <c r="J31" s="13"/>
      <c r="K31" s="101"/>
      <c r="L31" s="92">
        <f t="shared" si="8"/>
        <v>0</v>
      </c>
      <c r="M31" s="121">
        <f t="shared" si="11"/>
        <v>-1116</v>
      </c>
      <c r="N31" s="99">
        <f t="shared" si="12"/>
        <v>-1004.4</v>
      </c>
      <c r="O31" s="121">
        <f t="shared" si="13"/>
        <v>1116</v>
      </c>
      <c r="P31" s="99">
        <f t="shared" si="14"/>
        <v>1004.4</v>
      </c>
      <c r="Q31" s="131"/>
      <c r="R31" s="124">
        <f t="shared" si="5"/>
        <v>0</v>
      </c>
    </row>
    <row r="32" spans="1:18" x14ac:dyDescent="0.25">
      <c r="A32" s="227" t="s">
        <v>134</v>
      </c>
      <c r="B32" s="228"/>
      <c r="C32" s="4" t="s">
        <v>133</v>
      </c>
      <c r="D32" s="231">
        <f>D31/2</f>
        <v>558</v>
      </c>
      <c r="E32" s="232" t="s">
        <v>89</v>
      </c>
      <c r="F32" s="233">
        <v>0.75</v>
      </c>
      <c r="G32" s="234">
        <f t="shared" si="16"/>
        <v>418.5</v>
      </c>
      <c r="H32" s="5"/>
      <c r="I32" s="6"/>
      <c r="J32" s="13"/>
      <c r="K32" s="101"/>
      <c r="L32" s="92">
        <f t="shared" si="8"/>
        <v>0</v>
      </c>
      <c r="M32" s="121">
        <f t="shared" si="11"/>
        <v>-558</v>
      </c>
      <c r="N32" s="99">
        <f t="shared" si="12"/>
        <v>-418.5</v>
      </c>
      <c r="O32" s="121">
        <f t="shared" si="13"/>
        <v>558</v>
      </c>
      <c r="P32" s="99">
        <f t="shared" si="14"/>
        <v>418.5</v>
      </c>
      <c r="Q32" s="131"/>
      <c r="R32" s="124">
        <f t="shared" si="5"/>
        <v>0</v>
      </c>
    </row>
    <row r="33" spans="1:18" x14ac:dyDescent="0.25">
      <c r="A33" s="227" t="s">
        <v>86</v>
      </c>
      <c r="B33" s="228"/>
      <c r="C33" s="4" t="s">
        <v>75</v>
      </c>
      <c r="D33" s="231">
        <v>0.06</v>
      </c>
      <c r="E33" s="232" t="s">
        <v>5</v>
      </c>
      <c r="F33" s="233">
        <v>1315</v>
      </c>
      <c r="G33" s="234">
        <f t="shared" ref="G33:G34" si="17">D33*F33</f>
        <v>78.899999999999991</v>
      </c>
      <c r="H33" s="5"/>
      <c r="I33" s="6"/>
      <c r="J33" s="13"/>
      <c r="K33" s="101"/>
      <c r="L33" s="92">
        <f t="shared" si="8"/>
        <v>0</v>
      </c>
      <c r="M33" s="121">
        <f t="shared" si="11"/>
        <v>-0.06</v>
      </c>
      <c r="N33" s="99">
        <f t="shared" si="12"/>
        <v>-78.899999999999991</v>
      </c>
      <c r="O33" s="121">
        <f t="shared" si="13"/>
        <v>0.06</v>
      </c>
      <c r="P33" s="99">
        <f t="shared" si="14"/>
        <v>78.899999999999991</v>
      </c>
      <c r="Q33" s="131"/>
      <c r="R33" s="124">
        <f t="shared" si="5"/>
        <v>0</v>
      </c>
    </row>
    <row r="34" spans="1:18" x14ac:dyDescent="0.25">
      <c r="A34" s="227" t="s">
        <v>86</v>
      </c>
      <c r="B34" s="228"/>
      <c r="C34" s="4" t="s">
        <v>73</v>
      </c>
      <c r="D34" s="231">
        <v>0.27</v>
      </c>
      <c r="E34" s="232" t="s">
        <v>5</v>
      </c>
      <c r="F34" s="233">
        <v>1215</v>
      </c>
      <c r="G34" s="234">
        <f t="shared" si="17"/>
        <v>328.05</v>
      </c>
      <c r="H34" s="5"/>
      <c r="I34" s="6"/>
      <c r="J34" s="13"/>
      <c r="K34" s="101"/>
      <c r="L34" s="92">
        <f t="shared" si="8"/>
        <v>0</v>
      </c>
      <c r="M34" s="121">
        <f t="shared" si="11"/>
        <v>-0.27</v>
      </c>
      <c r="N34" s="99">
        <f t="shared" si="12"/>
        <v>-328.05</v>
      </c>
      <c r="O34" s="121">
        <f t="shared" si="13"/>
        <v>0.27</v>
      </c>
      <c r="P34" s="99">
        <f t="shared" si="14"/>
        <v>328.05</v>
      </c>
      <c r="Q34" s="131"/>
      <c r="R34" s="124">
        <f t="shared" si="5"/>
        <v>0</v>
      </c>
    </row>
    <row r="35" spans="1:18" x14ac:dyDescent="0.25">
      <c r="A35" s="221" t="s">
        <v>94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43"/>
    </row>
    <row r="36" spans="1:18" x14ac:dyDescent="0.25">
      <c r="A36" s="227" t="s">
        <v>74</v>
      </c>
      <c r="B36" s="228"/>
      <c r="C36" s="4" t="s">
        <v>144</v>
      </c>
      <c r="D36" s="231">
        <v>0.14499999999999999</v>
      </c>
      <c r="E36" s="232" t="s">
        <v>5</v>
      </c>
      <c r="F36" s="233">
        <v>1215</v>
      </c>
      <c r="G36" s="234">
        <f t="shared" ref="G36:G40" si="18">D36*F36</f>
        <v>176.17499999999998</v>
      </c>
      <c r="H36" s="5"/>
      <c r="I36" s="6"/>
      <c r="J36" s="13"/>
      <c r="K36" s="101"/>
      <c r="L36" s="92">
        <f t="shared" si="8"/>
        <v>0</v>
      </c>
      <c r="M36" s="121">
        <f t="shared" si="11"/>
        <v>-0.14499999999999999</v>
      </c>
      <c r="N36" s="99">
        <f t="shared" si="12"/>
        <v>-176.17499999999998</v>
      </c>
      <c r="O36" s="121">
        <f t="shared" si="13"/>
        <v>0.14499999999999999</v>
      </c>
      <c r="P36" s="99">
        <f t="shared" si="14"/>
        <v>176.17499999999998</v>
      </c>
      <c r="Q36" s="131"/>
      <c r="R36" s="124">
        <f t="shared" si="5"/>
        <v>0</v>
      </c>
    </row>
    <row r="37" spans="1:18" x14ac:dyDescent="0.25">
      <c r="A37" s="227" t="s">
        <v>79</v>
      </c>
      <c r="B37" s="228"/>
      <c r="C37" s="4" t="s">
        <v>144</v>
      </c>
      <c r="D37" s="231">
        <v>0.01</v>
      </c>
      <c r="E37" s="232" t="s">
        <v>5</v>
      </c>
      <c r="F37" s="233">
        <v>1215</v>
      </c>
      <c r="G37" s="234">
        <f t="shared" si="18"/>
        <v>12.15</v>
      </c>
      <c r="H37" s="5"/>
      <c r="I37" s="6"/>
      <c r="J37" s="13"/>
      <c r="K37" s="101"/>
      <c r="L37" s="92">
        <f t="shared" si="8"/>
        <v>0</v>
      </c>
      <c r="M37" s="121">
        <f t="shared" si="11"/>
        <v>-0.01</v>
      </c>
      <c r="N37" s="99">
        <f t="shared" si="12"/>
        <v>-12.15</v>
      </c>
      <c r="O37" s="121">
        <f t="shared" si="13"/>
        <v>0.01</v>
      </c>
      <c r="P37" s="99">
        <f t="shared" si="14"/>
        <v>12.15</v>
      </c>
      <c r="Q37" s="131"/>
      <c r="R37" s="124">
        <f t="shared" si="5"/>
        <v>0</v>
      </c>
    </row>
    <row r="38" spans="1:18" x14ac:dyDescent="0.25">
      <c r="A38" s="227" t="s">
        <v>130</v>
      </c>
      <c r="B38" s="228"/>
      <c r="C38" s="4" t="s">
        <v>135</v>
      </c>
      <c r="D38" s="231">
        <f>(1767/1.6)*1.15</f>
        <v>1270.03125</v>
      </c>
      <c r="E38" s="232" t="s">
        <v>89</v>
      </c>
      <c r="F38" s="233">
        <v>7.7</v>
      </c>
      <c r="G38" s="234">
        <f t="shared" si="18"/>
        <v>9779.2406250000004</v>
      </c>
      <c r="H38" s="5"/>
      <c r="I38" s="6"/>
      <c r="J38" s="13"/>
      <c r="K38" s="101"/>
      <c r="L38" s="92">
        <f t="shared" si="8"/>
        <v>0</v>
      </c>
      <c r="M38" s="121">
        <f t="shared" si="11"/>
        <v>-1270.03125</v>
      </c>
      <c r="N38" s="99">
        <f t="shared" si="12"/>
        <v>-9779.2406250000004</v>
      </c>
      <c r="O38" s="121">
        <f t="shared" si="13"/>
        <v>1270.03125</v>
      </c>
      <c r="P38" s="99">
        <f t="shared" si="14"/>
        <v>9779.2406250000004</v>
      </c>
      <c r="Q38" s="131"/>
      <c r="R38" s="124">
        <f t="shared" si="5"/>
        <v>0</v>
      </c>
    </row>
    <row r="39" spans="1:18" x14ac:dyDescent="0.25">
      <c r="A39" s="227" t="s">
        <v>134</v>
      </c>
      <c r="B39" s="228"/>
      <c r="C39" s="4" t="s">
        <v>132</v>
      </c>
      <c r="D39" s="231">
        <v>1270</v>
      </c>
      <c r="E39" s="232" t="s">
        <v>89</v>
      </c>
      <c r="F39" s="233">
        <v>0.9</v>
      </c>
      <c r="G39" s="234">
        <f t="shared" si="18"/>
        <v>1143</v>
      </c>
      <c r="H39" s="5"/>
      <c r="I39" s="6"/>
      <c r="J39" s="13"/>
      <c r="K39" s="101"/>
      <c r="L39" s="92">
        <f t="shared" si="8"/>
        <v>0</v>
      </c>
      <c r="M39" s="121">
        <f t="shared" si="11"/>
        <v>-1270</v>
      </c>
      <c r="N39" s="99">
        <f t="shared" si="12"/>
        <v>-1143</v>
      </c>
      <c r="O39" s="121">
        <f t="shared" si="13"/>
        <v>1270</v>
      </c>
      <c r="P39" s="99">
        <f t="shared" si="14"/>
        <v>1143</v>
      </c>
      <c r="Q39" s="131"/>
      <c r="R39" s="124">
        <f t="shared" si="5"/>
        <v>0</v>
      </c>
    </row>
    <row r="40" spans="1:18" x14ac:dyDescent="0.25">
      <c r="A40" s="227" t="s">
        <v>134</v>
      </c>
      <c r="B40" s="228"/>
      <c r="C40" s="4" t="s">
        <v>133</v>
      </c>
      <c r="D40" s="231">
        <f>D39/2</f>
        <v>635</v>
      </c>
      <c r="E40" s="232" t="s">
        <v>89</v>
      </c>
      <c r="F40" s="233">
        <v>0.75</v>
      </c>
      <c r="G40" s="234">
        <f t="shared" si="18"/>
        <v>476.25</v>
      </c>
      <c r="H40" s="5"/>
      <c r="I40" s="6"/>
      <c r="J40" s="13"/>
      <c r="K40" s="101"/>
      <c r="L40" s="92">
        <f t="shared" si="8"/>
        <v>0</v>
      </c>
      <c r="M40" s="121">
        <f t="shared" si="11"/>
        <v>-635</v>
      </c>
      <c r="N40" s="99">
        <f t="shared" si="12"/>
        <v>-476.25</v>
      </c>
      <c r="O40" s="121">
        <f t="shared" si="13"/>
        <v>635</v>
      </c>
      <c r="P40" s="99">
        <f t="shared" si="14"/>
        <v>476.25</v>
      </c>
      <c r="Q40" s="131"/>
      <c r="R40" s="124">
        <f t="shared" si="5"/>
        <v>0</v>
      </c>
    </row>
    <row r="41" spans="1:18" x14ac:dyDescent="0.25">
      <c r="A41" s="221" t="s">
        <v>95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43"/>
    </row>
    <row r="42" spans="1:18" x14ac:dyDescent="0.25">
      <c r="A42" s="227" t="s">
        <v>74</v>
      </c>
      <c r="B42" s="228"/>
      <c r="C42" s="4" t="s">
        <v>144</v>
      </c>
      <c r="D42" s="357">
        <v>6.66</v>
      </c>
      <c r="E42" s="232" t="s">
        <v>5</v>
      </c>
      <c r="F42" s="233">
        <v>1215</v>
      </c>
      <c r="G42" s="234">
        <f t="shared" ref="G42:G46" si="19">D42*F42</f>
        <v>8091.9000000000005</v>
      </c>
      <c r="H42" s="5"/>
      <c r="I42" s="6"/>
      <c r="J42" s="13"/>
      <c r="K42" s="101"/>
      <c r="L42" s="92">
        <f t="shared" si="8"/>
        <v>0</v>
      </c>
      <c r="M42" s="121">
        <f t="shared" si="11"/>
        <v>-6.66</v>
      </c>
      <c r="N42" s="99">
        <f t="shared" si="12"/>
        <v>-8091.9000000000005</v>
      </c>
      <c r="O42" s="121">
        <f t="shared" si="13"/>
        <v>6.66</v>
      </c>
      <c r="P42" s="99">
        <f t="shared" si="14"/>
        <v>8091.9000000000005</v>
      </c>
      <c r="Q42" s="131"/>
      <c r="R42" s="124">
        <f t="shared" si="5"/>
        <v>0</v>
      </c>
    </row>
    <row r="43" spans="1:18" x14ac:dyDescent="0.25">
      <c r="A43" s="227" t="s">
        <v>79</v>
      </c>
      <c r="B43" s="228"/>
      <c r="C43" s="4" t="s">
        <v>144</v>
      </c>
      <c r="D43" s="357">
        <v>0.25</v>
      </c>
      <c r="E43" s="232" t="s">
        <v>5</v>
      </c>
      <c r="F43" s="233">
        <v>1215</v>
      </c>
      <c r="G43" s="234">
        <f t="shared" si="19"/>
        <v>303.75</v>
      </c>
      <c r="H43" s="5"/>
      <c r="I43" s="6"/>
      <c r="J43" s="13"/>
      <c r="K43" s="101"/>
      <c r="L43" s="92">
        <f t="shared" si="8"/>
        <v>0</v>
      </c>
      <c r="M43" s="121">
        <f t="shared" si="11"/>
        <v>-0.25</v>
      </c>
      <c r="N43" s="99">
        <f t="shared" si="12"/>
        <v>-303.75</v>
      </c>
      <c r="O43" s="121">
        <f t="shared" si="13"/>
        <v>0.25</v>
      </c>
      <c r="P43" s="99">
        <f t="shared" si="14"/>
        <v>303.75</v>
      </c>
      <c r="Q43" s="131"/>
      <c r="R43" s="124">
        <f t="shared" si="5"/>
        <v>0</v>
      </c>
    </row>
    <row r="44" spans="1:18" x14ac:dyDescent="0.25">
      <c r="A44" s="227" t="s">
        <v>130</v>
      </c>
      <c r="B44" s="228"/>
      <c r="C44" s="4" t="s">
        <v>135</v>
      </c>
      <c r="D44" s="231">
        <v>34</v>
      </c>
      <c r="E44" s="232" t="s">
        <v>89</v>
      </c>
      <c r="F44" s="233">
        <v>7.7</v>
      </c>
      <c r="G44" s="234">
        <f t="shared" si="19"/>
        <v>261.8</v>
      </c>
      <c r="H44" s="5"/>
      <c r="I44" s="6"/>
      <c r="J44" s="13"/>
      <c r="K44" s="101"/>
      <c r="L44" s="92">
        <f t="shared" si="8"/>
        <v>0</v>
      </c>
      <c r="M44" s="121">
        <f t="shared" si="11"/>
        <v>-34</v>
      </c>
      <c r="N44" s="99">
        <f t="shared" si="12"/>
        <v>-261.8</v>
      </c>
      <c r="O44" s="121">
        <f t="shared" si="13"/>
        <v>34</v>
      </c>
      <c r="P44" s="99">
        <f t="shared" si="14"/>
        <v>261.8</v>
      </c>
      <c r="Q44" s="131"/>
      <c r="R44" s="124">
        <f t="shared" ref="R44:R57" si="20">IF($G44=0,0,SUM($L44/$G44))</f>
        <v>0</v>
      </c>
    </row>
    <row r="45" spans="1:18" x14ac:dyDescent="0.25">
      <c r="A45" s="227" t="s">
        <v>134</v>
      </c>
      <c r="B45" s="228"/>
      <c r="C45" s="4" t="s">
        <v>132</v>
      </c>
      <c r="D45" s="231">
        <f>77</f>
        <v>77</v>
      </c>
      <c r="E45" s="232" t="s">
        <v>89</v>
      </c>
      <c r="F45" s="233">
        <v>0.9</v>
      </c>
      <c r="G45" s="234">
        <f t="shared" si="19"/>
        <v>69.3</v>
      </c>
      <c r="H45" s="5"/>
      <c r="I45" s="6"/>
      <c r="J45" s="13"/>
      <c r="K45" s="101"/>
      <c r="L45" s="92">
        <f t="shared" si="8"/>
        <v>0</v>
      </c>
      <c r="M45" s="121">
        <f t="shared" si="11"/>
        <v>-77</v>
      </c>
      <c r="N45" s="99">
        <f t="shared" si="12"/>
        <v>-69.3</v>
      </c>
      <c r="O45" s="121">
        <f t="shared" si="13"/>
        <v>77</v>
      </c>
      <c r="P45" s="99">
        <f t="shared" si="14"/>
        <v>69.3</v>
      </c>
      <c r="Q45" s="131"/>
      <c r="R45" s="124">
        <f t="shared" si="20"/>
        <v>0</v>
      </c>
    </row>
    <row r="46" spans="1:18" x14ac:dyDescent="0.25">
      <c r="A46" s="227" t="s">
        <v>134</v>
      </c>
      <c r="B46" s="228"/>
      <c r="C46" s="4" t="s">
        <v>133</v>
      </c>
      <c r="D46" s="231">
        <f>D45/2</f>
        <v>38.5</v>
      </c>
      <c r="E46" s="232" t="s">
        <v>89</v>
      </c>
      <c r="F46" s="233">
        <v>0.75</v>
      </c>
      <c r="G46" s="234">
        <f t="shared" si="19"/>
        <v>28.875</v>
      </c>
      <c r="H46" s="5"/>
      <c r="I46" s="6"/>
      <c r="J46" s="13"/>
      <c r="K46" s="101"/>
      <c r="L46" s="92">
        <f t="shared" si="8"/>
        <v>0</v>
      </c>
      <c r="M46" s="121">
        <f t="shared" si="11"/>
        <v>-38.5</v>
      </c>
      <c r="N46" s="99">
        <f t="shared" si="12"/>
        <v>-28.875</v>
      </c>
      <c r="O46" s="121">
        <f t="shared" si="13"/>
        <v>38.5</v>
      </c>
      <c r="P46" s="99">
        <f t="shared" si="14"/>
        <v>28.875</v>
      </c>
      <c r="Q46" s="131"/>
      <c r="R46" s="124">
        <f t="shared" si="20"/>
        <v>0</v>
      </c>
    </row>
    <row r="47" spans="1:18" x14ac:dyDescent="0.25">
      <c r="A47" s="221" t="s">
        <v>96</v>
      </c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43"/>
    </row>
    <row r="48" spans="1:18" x14ac:dyDescent="0.25">
      <c r="A48" s="227" t="s">
        <v>127</v>
      </c>
      <c r="B48" s="228"/>
      <c r="C48" s="4"/>
      <c r="D48" s="231"/>
      <c r="E48" s="232"/>
      <c r="F48" s="233"/>
      <c r="G48" s="234">
        <v>5330.66</v>
      </c>
      <c r="H48" s="5"/>
      <c r="I48" s="6"/>
      <c r="J48" s="13"/>
      <c r="K48" s="101"/>
      <c r="L48" s="92">
        <f t="shared" si="8"/>
        <v>0</v>
      </c>
      <c r="M48" s="121">
        <f>SUM(K48-D48)</f>
        <v>0</v>
      </c>
      <c r="N48" s="99">
        <f t="shared" si="12"/>
        <v>0</v>
      </c>
      <c r="O48" s="121">
        <f t="shared" si="13"/>
        <v>0</v>
      </c>
      <c r="P48" s="99">
        <f t="shared" si="14"/>
        <v>5330.66</v>
      </c>
      <c r="Q48" s="131"/>
      <c r="R48" s="124">
        <f t="shared" si="20"/>
        <v>0</v>
      </c>
    </row>
    <row r="49" spans="1:21" x14ac:dyDescent="0.25">
      <c r="A49" s="227" t="s">
        <v>142</v>
      </c>
      <c r="B49" s="228"/>
      <c r="C49" s="3" t="s">
        <v>143</v>
      </c>
      <c r="D49" s="231">
        <v>480</v>
      </c>
      <c r="E49" s="232" t="s">
        <v>89</v>
      </c>
      <c r="F49" s="238">
        <v>7.44</v>
      </c>
      <c r="G49" s="234">
        <f t="shared" ref="G49" si="21">D49*F49</f>
        <v>3571.2000000000003</v>
      </c>
      <c r="H49" s="5"/>
      <c r="I49" s="6"/>
      <c r="J49" s="13"/>
      <c r="K49" s="101"/>
      <c r="L49" s="92">
        <f t="shared" ref="L49" si="22">SUM(K49*F49)</f>
        <v>0</v>
      </c>
      <c r="M49" s="121">
        <f t="shared" ref="M49" si="23">SUM(K49-D49)</f>
        <v>-480</v>
      </c>
      <c r="N49" s="99">
        <f t="shared" ref="N49" si="24">SUM(M49*F49)</f>
        <v>-3571.2000000000003</v>
      </c>
      <c r="O49" s="121">
        <f t="shared" ref="O49" si="25">SUM(D49-K49)</f>
        <v>480</v>
      </c>
      <c r="P49" s="99">
        <f t="shared" ref="P49" si="26">SUM(G49-L49)</f>
        <v>3571.2000000000003</v>
      </c>
      <c r="Q49" s="131"/>
      <c r="R49" s="124">
        <f t="shared" si="20"/>
        <v>0</v>
      </c>
    </row>
    <row r="50" spans="1:21" x14ac:dyDescent="0.25">
      <c r="A50" s="227" t="s">
        <v>140</v>
      </c>
      <c r="B50" s="228"/>
      <c r="C50" s="3" t="s">
        <v>80</v>
      </c>
      <c r="D50" s="231">
        <v>464</v>
      </c>
      <c r="E50" s="232" t="s">
        <v>83</v>
      </c>
      <c r="F50" s="238">
        <v>93.6</v>
      </c>
      <c r="G50" s="234">
        <f t="shared" ref="G50:G53" si="27">D50*F50</f>
        <v>43430.399999999994</v>
      </c>
      <c r="H50" s="5"/>
      <c r="I50" s="6"/>
      <c r="J50" s="13"/>
      <c r="K50" s="101"/>
      <c r="L50" s="92">
        <f t="shared" si="8"/>
        <v>0</v>
      </c>
      <c r="M50" s="121">
        <f t="shared" ref="M50:M51" si="28">SUM(K50-D50)</f>
        <v>-464</v>
      </c>
      <c r="N50" s="99">
        <f t="shared" si="12"/>
        <v>-43430.399999999994</v>
      </c>
      <c r="O50" s="121">
        <f t="shared" si="13"/>
        <v>464</v>
      </c>
      <c r="P50" s="99">
        <f t="shared" si="14"/>
        <v>43430.399999999994</v>
      </c>
      <c r="Q50" s="131"/>
      <c r="R50" s="124">
        <f t="shared" si="20"/>
        <v>0</v>
      </c>
    </row>
    <row r="51" spans="1:21" x14ac:dyDescent="0.25">
      <c r="A51" s="355" t="s">
        <v>140</v>
      </c>
      <c r="B51" s="356"/>
      <c r="C51" s="231" t="s">
        <v>87</v>
      </c>
      <c r="D51" s="231">
        <v>120</v>
      </c>
      <c r="E51" s="232" t="s">
        <v>83</v>
      </c>
      <c r="F51" s="233">
        <v>59.8</v>
      </c>
      <c r="G51" s="234">
        <f t="shared" si="27"/>
        <v>7176</v>
      </c>
      <c r="H51" s="5"/>
      <c r="I51" s="6"/>
      <c r="J51" s="13"/>
      <c r="K51" s="101"/>
      <c r="L51" s="92">
        <f t="shared" si="8"/>
        <v>0</v>
      </c>
      <c r="M51" s="121">
        <f t="shared" si="28"/>
        <v>-120</v>
      </c>
      <c r="N51" s="99">
        <f t="shared" si="12"/>
        <v>-7176</v>
      </c>
      <c r="O51" s="121">
        <f t="shared" si="13"/>
        <v>120</v>
      </c>
      <c r="P51" s="99">
        <f t="shared" si="14"/>
        <v>7176</v>
      </c>
      <c r="Q51" s="131"/>
      <c r="R51" s="124">
        <f t="shared" si="20"/>
        <v>0</v>
      </c>
    </row>
    <row r="52" spans="1:21" x14ac:dyDescent="0.25">
      <c r="A52" s="227" t="s">
        <v>140</v>
      </c>
      <c r="B52" s="228"/>
      <c r="C52" s="3" t="s">
        <v>81</v>
      </c>
      <c r="D52" s="231">
        <v>2</v>
      </c>
      <c r="E52" s="232" t="s">
        <v>83</v>
      </c>
      <c r="F52" s="233">
        <v>46.8</v>
      </c>
      <c r="G52" s="234">
        <f t="shared" si="27"/>
        <v>93.6</v>
      </c>
      <c r="H52" s="5"/>
      <c r="I52" s="6"/>
      <c r="J52" s="13"/>
      <c r="K52" s="101"/>
      <c r="L52" s="92">
        <f t="shared" ref="L52:L53" si="29">SUM(K52*F52)</f>
        <v>0</v>
      </c>
      <c r="M52" s="121">
        <f>SUM(K52-D52)</f>
        <v>-2</v>
      </c>
      <c r="N52" s="99">
        <f t="shared" ref="N52:N53" si="30">SUM(M52*F52)</f>
        <v>-93.6</v>
      </c>
      <c r="O52" s="121">
        <f t="shared" ref="O52:O53" si="31">SUM(D52-K52)</f>
        <v>2</v>
      </c>
      <c r="P52" s="99">
        <f t="shared" ref="P52" si="32">SUM(G52-L52)</f>
        <v>93.6</v>
      </c>
      <c r="Q52" s="131"/>
      <c r="R52" s="124">
        <f t="shared" si="20"/>
        <v>0</v>
      </c>
    </row>
    <row r="53" spans="1:21" x14ac:dyDescent="0.25">
      <c r="A53" s="227" t="s">
        <v>141</v>
      </c>
      <c r="B53" s="228"/>
      <c r="C53" s="3" t="s">
        <v>82</v>
      </c>
      <c r="D53" s="231">
        <v>728</v>
      </c>
      <c r="E53" s="232" t="s">
        <v>83</v>
      </c>
      <c r="F53" s="233">
        <v>16.899999999999999</v>
      </c>
      <c r="G53" s="234">
        <f t="shared" si="27"/>
        <v>12303.199999999999</v>
      </c>
      <c r="H53" s="5"/>
      <c r="I53" s="6"/>
      <c r="J53" s="13"/>
      <c r="K53" s="101"/>
      <c r="L53" s="92">
        <f t="shared" si="29"/>
        <v>0</v>
      </c>
      <c r="M53" s="121">
        <f>SUM(K53-D53)</f>
        <v>-728</v>
      </c>
      <c r="N53" s="99">
        <f t="shared" si="30"/>
        <v>-12303.199999999999</v>
      </c>
      <c r="O53" s="121">
        <f t="shared" si="31"/>
        <v>728</v>
      </c>
      <c r="P53" s="99"/>
      <c r="Q53" s="131"/>
      <c r="R53" s="124"/>
    </row>
    <row r="54" spans="1:21" x14ac:dyDescent="0.25">
      <c r="A54" s="227" t="s">
        <v>101</v>
      </c>
      <c r="B54" s="228"/>
      <c r="C54" s="4"/>
      <c r="D54" s="231">
        <v>13</v>
      </c>
      <c r="E54" s="232" t="s">
        <v>89</v>
      </c>
      <c r="F54" s="233">
        <v>1100</v>
      </c>
      <c r="G54" s="234">
        <f>D54*F54</f>
        <v>14300</v>
      </c>
      <c r="H54" s="5"/>
      <c r="I54" s="6"/>
      <c r="J54" s="13"/>
      <c r="K54" s="101"/>
      <c r="L54" s="92">
        <f t="shared" ref="L54:L57" si="33">SUM(K54*F54)</f>
        <v>0</v>
      </c>
      <c r="M54" s="121">
        <f t="shared" si="11"/>
        <v>-13</v>
      </c>
      <c r="N54" s="99">
        <f t="shared" si="12"/>
        <v>-14300</v>
      </c>
      <c r="O54" s="121">
        <f t="shared" si="13"/>
        <v>13</v>
      </c>
      <c r="P54" s="99">
        <f t="shared" si="14"/>
        <v>14300</v>
      </c>
      <c r="Q54" s="131"/>
      <c r="R54" s="124">
        <f t="shared" si="20"/>
        <v>0</v>
      </c>
    </row>
    <row r="55" spans="1:21" x14ac:dyDescent="0.25">
      <c r="A55" s="227" t="s">
        <v>102</v>
      </c>
      <c r="B55" s="228"/>
      <c r="C55" s="4"/>
      <c r="D55" s="231">
        <v>294</v>
      </c>
      <c r="E55" s="232" t="s">
        <v>106</v>
      </c>
      <c r="F55" s="233">
        <v>12.5</v>
      </c>
      <c r="G55" s="234">
        <f t="shared" ref="G55:G56" si="34">D55*F55</f>
        <v>3675</v>
      </c>
      <c r="H55" s="5"/>
      <c r="I55" s="6"/>
      <c r="J55" s="13"/>
      <c r="K55" s="101"/>
      <c r="L55" s="92">
        <f t="shared" si="33"/>
        <v>0</v>
      </c>
      <c r="M55" s="121">
        <f t="shared" si="11"/>
        <v>-294</v>
      </c>
      <c r="N55" s="99">
        <f t="shared" si="12"/>
        <v>-3675</v>
      </c>
      <c r="O55" s="121">
        <f t="shared" si="13"/>
        <v>294</v>
      </c>
      <c r="P55" s="99">
        <f t="shared" si="14"/>
        <v>3675</v>
      </c>
      <c r="Q55" s="131"/>
      <c r="R55" s="124">
        <f t="shared" si="20"/>
        <v>0</v>
      </c>
    </row>
    <row r="56" spans="1:21" x14ac:dyDescent="0.25">
      <c r="A56" s="227" t="s">
        <v>103</v>
      </c>
      <c r="B56" s="228"/>
      <c r="C56" s="4"/>
      <c r="D56" s="231">
        <v>6</v>
      </c>
      <c r="E56" s="232" t="s">
        <v>89</v>
      </c>
      <c r="F56" s="233">
        <v>750</v>
      </c>
      <c r="G56" s="234">
        <f t="shared" si="34"/>
        <v>4500</v>
      </c>
      <c r="H56" s="5"/>
      <c r="I56" s="6"/>
      <c r="J56" s="13"/>
      <c r="K56" s="101"/>
      <c r="L56" s="92">
        <f t="shared" si="33"/>
        <v>0</v>
      </c>
      <c r="M56" s="121">
        <f t="shared" si="11"/>
        <v>-6</v>
      </c>
      <c r="N56" s="99">
        <f t="shared" si="12"/>
        <v>-4500</v>
      </c>
      <c r="O56" s="121">
        <f t="shared" si="13"/>
        <v>6</v>
      </c>
      <c r="P56" s="99">
        <f t="shared" si="14"/>
        <v>4500</v>
      </c>
      <c r="Q56" s="131"/>
      <c r="R56" s="124">
        <f t="shared" si="20"/>
        <v>0</v>
      </c>
    </row>
    <row r="57" spans="1:21" x14ac:dyDescent="0.25">
      <c r="A57" s="227" t="s">
        <v>104</v>
      </c>
      <c r="B57" s="228"/>
      <c r="C57" s="4"/>
      <c r="D57" s="240">
        <v>11</v>
      </c>
      <c r="E57" s="232" t="s">
        <v>107</v>
      </c>
      <c r="F57" s="241">
        <v>65</v>
      </c>
      <c r="G57" s="242">
        <f>D57*F57</f>
        <v>715</v>
      </c>
      <c r="H57" s="5"/>
      <c r="I57" s="6"/>
      <c r="J57" s="13"/>
      <c r="K57" s="101"/>
      <c r="L57" s="92">
        <f t="shared" si="33"/>
        <v>0</v>
      </c>
      <c r="M57" s="121">
        <f t="shared" si="11"/>
        <v>-11</v>
      </c>
      <c r="N57" s="99">
        <f t="shared" si="12"/>
        <v>-715</v>
      </c>
      <c r="O57" s="121">
        <f t="shared" si="13"/>
        <v>11</v>
      </c>
      <c r="P57" s="99">
        <f t="shared" si="14"/>
        <v>715</v>
      </c>
      <c r="Q57" s="131"/>
      <c r="R57" s="124">
        <f t="shared" si="20"/>
        <v>0</v>
      </c>
    </row>
    <row r="58" spans="1:21" x14ac:dyDescent="0.25">
      <c r="A58" s="227"/>
      <c r="B58" s="228"/>
      <c r="C58" s="4"/>
      <c r="D58" s="5"/>
      <c r="E58" s="5"/>
      <c r="F58" s="23"/>
      <c r="G58" s="23"/>
      <c r="H58" s="5"/>
      <c r="I58" s="6"/>
      <c r="J58" s="13"/>
      <c r="K58" s="101"/>
      <c r="L58" s="92"/>
      <c r="M58" s="132"/>
      <c r="N58" s="99"/>
      <c r="O58" s="7"/>
      <c r="P58" s="99"/>
      <c r="Q58" s="137"/>
      <c r="R58" s="124"/>
    </row>
    <row r="59" spans="1:21" x14ac:dyDescent="0.25">
      <c r="A59" s="227"/>
      <c r="B59" s="228"/>
      <c r="C59" s="4"/>
      <c r="D59" s="5"/>
      <c r="E59" s="5"/>
      <c r="F59" s="23"/>
      <c r="G59" s="23"/>
      <c r="H59" s="5"/>
      <c r="I59" s="6"/>
      <c r="J59" s="13"/>
      <c r="K59" s="101"/>
      <c r="L59" s="92"/>
      <c r="M59" s="132"/>
      <c r="N59" s="99"/>
      <c r="O59" s="7"/>
      <c r="P59" s="99"/>
      <c r="Q59" s="137"/>
      <c r="R59" s="124"/>
    </row>
    <row r="60" spans="1:21" x14ac:dyDescent="0.25">
      <c r="A60" s="227"/>
      <c r="B60" s="228"/>
      <c r="C60" s="4"/>
      <c r="D60" s="5"/>
      <c r="E60" s="5"/>
      <c r="F60" s="23"/>
      <c r="G60" s="23"/>
      <c r="H60" s="5"/>
      <c r="I60" s="6"/>
      <c r="J60" s="13"/>
      <c r="K60" s="101"/>
      <c r="L60" s="92"/>
      <c r="M60" s="132"/>
      <c r="N60" s="99"/>
      <c r="O60" s="7"/>
      <c r="P60" s="99"/>
      <c r="Q60" s="137"/>
      <c r="R60" s="124"/>
    </row>
    <row r="61" spans="1:21" x14ac:dyDescent="0.25">
      <c r="A61" s="227"/>
      <c r="B61" s="228"/>
      <c r="C61" s="4"/>
      <c r="D61" s="5"/>
      <c r="E61" s="5"/>
      <c r="F61" s="23"/>
      <c r="G61" s="23"/>
      <c r="H61" s="5"/>
      <c r="I61" s="6"/>
      <c r="J61" s="13"/>
      <c r="K61" s="101"/>
      <c r="L61" s="92"/>
      <c r="M61" s="132"/>
      <c r="N61" s="99"/>
      <c r="O61" s="7"/>
      <c r="P61" s="99"/>
      <c r="Q61" s="137"/>
      <c r="R61" s="124"/>
    </row>
    <row r="62" spans="1:21" x14ac:dyDescent="0.25">
      <c r="A62" s="227"/>
      <c r="B62" s="228"/>
      <c r="C62" s="4"/>
      <c r="D62" s="5"/>
      <c r="E62" s="5"/>
      <c r="F62" s="23"/>
      <c r="G62" s="23"/>
      <c r="H62" s="5"/>
      <c r="I62" s="6"/>
      <c r="J62" s="13"/>
      <c r="K62" s="157">
        <v>3</v>
      </c>
      <c r="L62" s="92">
        <f t="shared" si="6"/>
        <v>0</v>
      </c>
      <c r="M62" s="132">
        <f t="shared" ref="M62" si="35">SUM(K62-D62)</f>
        <v>3</v>
      </c>
      <c r="N62" s="99">
        <f t="shared" ref="N62" si="36">SUM(M62*F62)</f>
        <v>0</v>
      </c>
      <c r="O62" s="7">
        <f t="shared" ref="O62" si="37">SUM(D62-K62)</f>
        <v>-3</v>
      </c>
      <c r="P62" s="99">
        <f>SUM(G62-L65)</f>
        <v>0</v>
      </c>
      <c r="Q62" s="129"/>
      <c r="R62" s="124">
        <f t="shared" ref="R62" si="38">IF($G62=0,0,SUM($L62/$G62))</f>
        <v>0</v>
      </c>
    </row>
    <row r="63" spans="1:21" x14ac:dyDescent="0.25">
      <c r="A63" s="229"/>
      <c r="B63" s="230"/>
      <c r="C63" s="183"/>
      <c r="D63" s="183"/>
      <c r="E63" s="183"/>
      <c r="F63" s="183"/>
      <c r="G63" s="182"/>
      <c r="H63" s="178"/>
      <c r="I63" s="179"/>
      <c r="J63" s="180"/>
      <c r="K63" s="180"/>
      <c r="L63" s="181"/>
      <c r="M63" s="132"/>
      <c r="N63" s="99"/>
      <c r="O63" s="7"/>
      <c r="P63" s="99"/>
      <c r="Q63" s="129"/>
      <c r="R63" s="124"/>
    </row>
    <row r="64" spans="1:21" x14ac:dyDescent="0.25">
      <c r="A64" s="227"/>
      <c r="B64" s="228"/>
      <c r="C64" s="4"/>
      <c r="D64" s="5"/>
      <c r="E64" s="5"/>
      <c r="F64" s="23"/>
      <c r="G64" s="23"/>
      <c r="H64" s="5"/>
      <c r="I64" s="6"/>
      <c r="J64" s="13"/>
      <c r="K64" s="157">
        <v>1</v>
      </c>
      <c r="L64" s="92">
        <f t="shared" si="6"/>
        <v>0</v>
      </c>
      <c r="M64" s="132"/>
      <c r="N64" s="99"/>
      <c r="O64" s="7"/>
      <c r="P64" s="99"/>
      <c r="Q64" s="129"/>
      <c r="R64" s="124"/>
      <c r="U64" s="151"/>
    </row>
    <row r="65" spans="1:18" x14ac:dyDescent="0.25">
      <c r="A65" s="227"/>
      <c r="B65" s="228"/>
      <c r="C65" s="4"/>
      <c r="D65" s="5"/>
      <c r="E65" s="5"/>
      <c r="F65" s="23"/>
      <c r="G65" s="23"/>
      <c r="H65" s="5"/>
      <c r="I65" s="6"/>
      <c r="J65" s="13"/>
      <c r="K65" s="157">
        <f>'STEEL DOCKET ENTRY'!W52</f>
        <v>0</v>
      </c>
      <c r="L65" s="92">
        <f>SUM(K65*F65)</f>
        <v>0</v>
      </c>
      <c r="M65" s="132"/>
      <c r="N65" s="99"/>
      <c r="O65" s="7"/>
      <c r="P65" s="99"/>
      <c r="Q65" s="129"/>
      <c r="R65" s="124"/>
    </row>
    <row r="66" spans="1:18" x14ac:dyDescent="0.25">
      <c r="A66" s="227"/>
      <c r="B66" s="228"/>
      <c r="C66" s="4"/>
      <c r="D66" s="5"/>
      <c r="E66" s="5"/>
      <c r="F66" s="23"/>
      <c r="G66" s="23"/>
      <c r="H66" s="5"/>
      <c r="I66" s="6"/>
      <c r="J66" s="13"/>
      <c r="K66" s="157">
        <f>'STEEL DOCKET ENTRY'!X52</f>
        <v>0</v>
      </c>
      <c r="L66" s="92">
        <f>SUM(K66*F66)</f>
        <v>0</v>
      </c>
      <c r="M66" s="132"/>
      <c r="N66" s="99"/>
      <c r="O66" s="7"/>
      <c r="P66" s="99"/>
      <c r="Q66" s="129"/>
      <c r="R66" s="124"/>
    </row>
    <row r="67" spans="1:18" x14ac:dyDescent="0.25">
      <c r="A67" s="227"/>
      <c r="B67" s="228"/>
      <c r="C67" s="4"/>
      <c r="D67" s="5"/>
      <c r="E67" s="5"/>
      <c r="F67" s="23"/>
      <c r="G67" s="23"/>
      <c r="H67" s="5"/>
      <c r="I67" s="6"/>
      <c r="J67" s="13"/>
      <c r="K67" s="157">
        <f>'STEEL DOCKET ENTRY'!Y52</f>
        <v>0</v>
      </c>
      <c r="L67" s="92">
        <f t="shared" si="6"/>
        <v>0</v>
      </c>
      <c r="M67" s="132"/>
      <c r="N67" s="99"/>
      <c r="O67" s="7"/>
      <c r="P67" s="99"/>
      <c r="Q67" s="129"/>
      <c r="R67" s="124"/>
    </row>
    <row r="68" spans="1:18" x14ac:dyDescent="0.25">
      <c r="A68" s="227"/>
      <c r="B68" s="228"/>
      <c r="C68" s="4"/>
      <c r="D68" s="5"/>
      <c r="E68" s="5"/>
      <c r="F68" s="23"/>
      <c r="G68" s="23"/>
      <c r="H68" s="5"/>
      <c r="I68" s="6"/>
      <c r="J68" s="13"/>
      <c r="K68" s="101"/>
      <c r="L68" s="92"/>
      <c r="M68" s="132"/>
      <c r="N68" s="99"/>
      <c r="O68" s="7"/>
      <c r="P68" s="99"/>
      <c r="Q68" s="129"/>
      <c r="R68" s="124"/>
    </row>
    <row r="69" spans="1:18" ht="18" thickBot="1" x14ac:dyDescent="0.45">
      <c r="A69" s="227"/>
      <c r="B69" s="228"/>
      <c r="C69" s="15"/>
      <c r="D69" s="16">
        <f>SUM(D6:D68)</f>
        <v>9625.9951925000023</v>
      </c>
      <c r="E69" s="14"/>
      <c r="F69" s="14"/>
      <c r="G69" s="17">
        <f>SUM(G6:G68)</f>
        <v>167522.08257500004</v>
      </c>
      <c r="H69" s="18">
        <f>SUM(H6:H68)</f>
        <v>0</v>
      </c>
      <c r="I69" s="19">
        <f>SUM(I6:I68)</f>
        <v>0</v>
      </c>
      <c r="J69" s="20"/>
      <c r="K69" s="21"/>
      <c r="L69" s="93">
        <f>SUM(L6:L68)</f>
        <v>2148.12</v>
      </c>
      <c r="M69" s="133">
        <f>SUM(M6:M68)</f>
        <v>-9621.2271925000023</v>
      </c>
      <c r="N69" s="93">
        <f>SUM(N6:N68)</f>
        <v>-160043.30257500001</v>
      </c>
      <c r="O69" s="123">
        <f>SUM(O6:O68)</f>
        <v>9621.2271925000023</v>
      </c>
      <c r="P69" s="93">
        <f>SUM(P6:P68)</f>
        <v>153070.762575</v>
      </c>
      <c r="Q69" s="130"/>
      <c r="R69" s="125">
        <f>SUM(R6:R8)</f>
        <v>0</v>
      </c>
    </row>
    <row r="70" spans="1:18" x14ac:dyDescent="0.25">
      <c r="O70" s="103"/>
    </row>
    <row r="71" spans="1:18" x14ac:dyDescent="0.25">
      <c r="A71" s="216" t="s">
        <v>51</v>
      </c>
      <c r="B71" s="216"/>
      <c r="C71" s="216"/>
      <c r="D71" s="216"/>
      <c r="E71" s="216"/>
      <c r="F71" s="216"/>
      <c r="G71" s="216"/>
      <c r="H71" s="216"/>
      <c r="I71" s="216"/>
      <c r="J71" s="216"/>
      <c r="K71" s="216"/>
      <c r="L71" s="31">
        <f>SUM('STEEL DOCKET ENTRY'!AC52)</f>
        <v>0</v>
      </c>
      <c r="O71" s="104"/>
    </row>
    <row r="72" spans="1:18" x14ac:dyDescent="0.25">
      <c r="A72" s="216" t="s">
        <v>43</v>
      </c>
      <c r="B72" s="216"/>
      <c r="C72" s="216"/>
      <c r="D72" s="216"/>
      <c r="E72" s="216"/>
      <c r="F72" s="216"/>
      <c r="G72" s="216"/>
      <c r="H72" s="216"/>
      <c r="I72" s="216"/>
      <c r="J72" s="216"/>
      <c r="K72" s="216"/>
      <c r="L72" s="31"/>
    </row>
    <row r="73" spans="1:18" x14ac:dyDescent="0.25">
      <c r="A73" s="171"/>
      <c r="B73" s="171"/>
      <c r="C73" s="171"/>
      <c r="D73" s="171"/>
      <c r="E73" s="171"/>
      <c r="F73" s="171"/>
      <c r="G73" s="171"/>
      <c r="H73" s="171"/>
      <c r="I73" s="171"/>
      <c r="J73" s="171"/>
      <c r="K73" s="171" t="s">
        <v>60</v>
      </c>
      <c r="L73" s="31"/>
    </row>
    <row r="74" spans="1:18" x14ac:dyDescent="0.25">
      <c r="A74" s="171"/>
      <c r="B74" s="171"/>
      <c r="C74" s="171"/>
      <c r="D74" s="171"/>
      <c r="E74" s="171"/>
      <c r="F74" s="171"/>
      <c r="G74" s="171"/>
      <c r="H74" s="171"/>
      <c r="I74" s="171"/>
      <c r="J74" s="171"/>
      <c r="K74" s="171" t="s">
        <v>62</v>
      </c>
      <c r="L74" s="172"/>
    </row>
    <row r="75" spans="1:18" x14ac:dyDescent="0.25">
      <c r="A75" s="216" t="s">
        <v>59</v>
      </c>
      <c r="B75" s="216"/>
      <c r="C75" s="216"/>
      <c r="D75" s="216"/>
      <c r="E75" s="216"/>
      <c r="F75" s="216"/>
      <c r="G75" s="216"/>
      <c r="H75" s="216"/>
      <c r="I75" s="216"/>
      <c r="J75" s="216"/>
      <c r="K75" s="216"/>
      <c r="L75" s="102"/>
    </row>
    <row r="76" spans="1:18" x14ac:dyDescent="0.25">
      <c r="A76" s="171"/>
      <c r="B76" s="171"/>
      <c r="C76" s="171"/>
      <c r="D76" s="171"/>
      <c r="E76" s="171"/>
      <c r="F76" s="171"/>
      <c r="G76" s="171"/>
      <c r="H76" s="171"/>
      <c r="I76" s="171"/>
      <c r="J76" s="171"/>
      <c r="K76" s="171" t="s">
        <v>64</v>
      </c>
      <c r="L76" s="102"/>
    </row>
    <row r="77" spans="1:18" ht="17.25" x14ac:dyDescent="0.4">
      <c r="A77" s="204" t="s">
        <v>63</v>
      </c>
      <c r="B77" s="204"/>
      <c r="C77" s="204"/>
      <c r="D77" s="204"/>
      <c r="E77" s="204"/>
      <c r="F77" s="204"/>
      <c r="G77" s="204"/>
      <c r="H77" s="204"/>
      <c r="I77" s="204"/>
      <c r="J77" s="204"/>
      <c r="K77" s="204"/>
      <c r="L77" s="127"/>
    </row>
    <row r="79" spans="1:18" x14ac:dyDescent="0.25">
      <c r="L79" s="102"/>
    </row>
    <row r="80" spans="1:18" x14ac:dyDescent="0.25">
      <c r="L80" s="102"/>
    </row>
    <row r="82" spans="2:16" x14ac:dyDescent="0.25">
      <c r="L82" s="102"/>
    </row>
    <row r="83" spans="2:16" x14ac:dyDescent="0.25">
      <c r="P83" s="152"/>
    </row>
    <row r="85" spans="2:16" ht="21" x14ac:dyDescent="0.35">
      <c r="L85" s="209"/>
      <c r="M85" s="209"/>
      <c r="N85" s="209"/>
    </row>
    <row r="86" spans="2:16" ht="15.75" x14ac:dyDescent="0.25">
      <c r="B86" s="203"/>
      <c r="C86" s="203"/>
      <c r="D86" s="203"/>
      <c r="E86" s="164"/>
      <c r="F86" s="163"/>
      <c r="G86" s="163"/>
      <c r="K86" s="202"/>
      <c r="L86" s="202"/>
      <c r="M86" s="174"/>
      <c r="N86" s="173"/>
    </row>
    <row r="87" spans="2:16" ht="15.75" x14ac:dyDescent="0.25">
      <c r="K87" s="202"/>
      <c r="L87" s="202"/>
      <c r="M87" s="174"/>
      <c r="N87" s="173"/>
    </row>
    <row r="88" spans="2:16" ht="15.75" x14ac:dyDescent="0.25">
      <c r="K88" s="202"/>
      <c r="L88" s="202"/>
      <c r="M88" s="175"/>
      <c r="N88" s="174"/>
    </row>
    <row r="89" spans="2:16" ht="15.75" x14ac:dyDescent="0.25">
      <c r="K89" s="202"/>
      <c r="L89" s="202"/>
      <c r="M89" s="174"/>
      <c r="N89" s="174"/>
    </row>
    <row r="90" spans="2:16" ht="15.75" x14ac:dyDescent="0.25">
      <c r="L90" s="173"/>
      <c r="M90" s="174"/>
      <c r="N90" s="173"/>
    </row>
    <row r="91" spans="2:16" ht="18" x14ac:dyDescent="0.4">
      <c r="K91" s="202"/>
      <c r="L91" s="202"/>
      <c r="M91" s="176"/>
      <c r="N91" s="173"/>
    </row>
    <row r="92" spans="2:16" ht="15.75" x14ac:dyDescent="0.25">
      <c r="K92" s="202"/>
      <c r="L92" s="202"/>
      <c r="M92" s="175"/>
      <c r="N92" s="173"/>
    </row>
  </sheetData>
  <mergeCells count="83">
    <mergeCell ref="A18:R18"/>
    <mergeCell ref="A5:R5"/>
    <mergeCell ref="A24:R24"/>
    <mergeCell ref="A35:R35"/>
    <mergeCell ref="A41:R41"/>
    <mergeCell ref="A52:B52"/>
    <mergeCell ref="A54:B54"/>
    <mergeCell ref="A55:B55"/>
    <mergeCell ref="A56:B56"/>
    <mergeCell ref="A57:B57"/>
    <mergeCell ref="A50:B50"/>
    <mergeCell ref="A51:B51"/>
    <mergeCell ref="A53:B53"/>
    <mergeCell ref="A46:B46"/>
    <mergeCell ref="A48:B48"/>
    <mergeCell ref="A47:R47"/>
    <mergeCell ref="A43:B43"/>
    <mergeCell ref="A44:B44"/>
    <mergeCell ref="A45:B45"/>
    <mergeCell ref="A39:B39"/>
    <mergeCell ref="A40:B40"/>
    <mergeCell ref="A42:B42"/>
    <mergeCell ref="A36:B36"/>
    <mergeCell ref="A37:B37"/>
    <mergeCell ref="A38:B38"/>
    <mergeCell ref="A49:B49"/>
    <mergeCell ref="A32:B32"/>
    <mergeCell ref="A33:B33"/>
    <mergeCell ref="A34:B34"/>
    <mergeCell ref="A61:B61"/>
    <mergeCell ref="A19:B19"/>
    <mergeCell ref="A20:B20"/>
    <mergeCell ref="A21:B21"/>
    <mergeCell ref="A22:B22"/>
    <mergeCell ref="A23:B23"/>
    <mergeCell ref="A25:B25"/>
    <mergeCell ref="A26:B26"/>
    <mergeCell ref="A27:B27"/>
    <mergeCell ref="A17:B17"/>
    <mergeCell ref="A59:B59"/>
    <mergeCell ref="A60:B60"/>
    <mergeCell ref="A58:B58"/>
    <mergeCell ref="A28:B28"/>
    <mergeCell ref="A29:B29"/>
    <mergeCell ref="A30:B30"/>
    <mergeCell ref="A31:B31"/>
    <mergeCell ref="A13:B13"/>
    <mergeCell ref="A14:B14"/>
    <mergeCell ref="A15:B15"/>
    <mergeCell ref="A16:B16"/>
    <mergeCell ref="A11:B11"/>
    <mergeCell ref="A12:B12"/>
    <mergeCell ref="M1:R2"/>
    <mergeCell ref="D1:L2"/>
    <mergeCell ref="A72:K72"/>
    <mergeCell ref="A75:K75"/>
    <mergeCell ref="A71:K71"/>
    <mergeCell ref="A4:B4"/>
    <mergeCell ref="A6:B6"/>
    <mergeCell ref="A7:B7"/>
    <mergeCell ref="A8:B8"/>
    <mergeCell ref="A9:B9"/>
    <mergeCell ref="B86:D86"/>
    <mergeCell ref="A77:K77"/>
    <mergeCell ref="D3:I3"/>
    <mergeCell ref="K3:R3"/>
    <mergeCell ref="A3:C3"/>
    <mergeCell ref="L85:N85"/>
    <mergeCell ref="K86:L86"/>
    <mergeCell ref="A10:B10"/>
    <mergeCell ref="A62:B62"/>
    <mergeCell ref="A64:B64"/>
    <mergeCell ref="A65:B65"/>
    <mergeCell ref="A66:B66"/>
    <mergeCell ref="A67:B67"/>
    <mergeCell ref="A68:B68"/>
    <mergeCell ref="A69:B69"/>
    <mergeCell ref="A63:B63"/>
    <mergeCell ref="K91:L91"/>
    <mergeCell ref="K92:L92"/>
    <mergeCell ref="K87:L87"/>
    <mergeCell ref="K88:L88"/>
    <mergeCell ref="K89:L89"/>
  </mergeCells>
  <conditionalFormatting sqref="R48:R57 R42:R46 R36:R40 R25:R34 R19:R23 R6:R17">
    <cfRule type="cellIs" dxfId="45" priority="12" operator="lessThan">
      <formula>$Q$6</formula>
    </cfRule>
    <cfRule type="cellIs" dxfId="44" priority="13" operator="greaterThan">
      <formula>$Q$6</formula>
    </cfRule>
  </conditionalFormatting>
  <conditionalFormatting sqref="M48:M57 M42:M46 M36:M40 M25:M34 M19:M23 M6:M17">
    <cfRule type="cellIs" dxfId="43" priority="3" operator="lessThan">
      <formula>0</formula>
    </cfRule>
    <cfRule type="cellIs" dxfId="42" priority="4" operator="greaterThan">
      <formula>0</formula>
    </cfRule>
  </conditionalFormatting>
  <conditionalFormatting sqref="N48:N57 N42:N46 N36:N40 N25:N34 N19:N23 N6:N17">
    <cfRule type="cellIs" dxfId="41" priority="1" operator="greaterThan">
      <formula>0</formula>
    </cfRule>
    <cfRule type="cellIs" dxfId="4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77" fitToHeight="2" orientation="landscape" r:id="rId1"/>
  <headerFooter>
    <oddFooter>Page &amp;P&amp;R&amp;Z&amp;F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3"/>
  <sheetViews>
    <sheetView workbookViewId="0">
      <selection activeCell="I23" sqref="I23"/>
    </sheetView>
  </sheetViews>
  <sheetFormatPr defaultRowHeight="15" x14ac:dyDescent="0.25"/>
  <cols>
    <col min="1" max="1" width="32" bestFit="1" customWidth="1"/>
    <col min="2" max="2" width="22.140625" style="2" customWidth="1"/>
    <col min="3" max="3" width="15.42578125" customWidth="1"/>
    <col min="4" max="4" width="9" style="1" customWidth="1"/>
    <col min="5" max="5" width="11.85546875" style="1" customWidth="1"/>
    <col min="6" max="6" width="11.28515625" customWidth="1"/>
    <col min="7" max="7" width="1.85546875" customWidth="1"/>
    <col min="8" max="8" width="15.42578125" customWidth="1"/>
    <col min="9" max="9" width="14.28515625" bestFit="1" customWidth="1"/>
    <col min="10" max="11" width="19.7109375" customWidth="1"/>
    <col min="12" max="12" width="19.42578125" customWidth="1"/>
    <col min="13" max="13" width="6.5703125" customWidth="1"/>
    <col min="14" max="14" width="11" customWidth="1"/>
    <col min="15" max="15" width="9.140625" bestFit="1" customWidth="1"/>
    <col min="16" max="16" width="11.5703125" bestFit="1" customWidth="1"/>
    <col min="17" max="17" width="9" customWidth="1"/>
    <col min="18" max="18" width="11.7109375" customWidth="1"/>
    <col min="19" max="19" width="16.7109375" customWidth="1"/>
    <col min="20" max="20" width="22.140625" customWidth="1"/>
    <col min="21" max="21" width="46" customWidth="1"/>
  </cols>
  <sheetData>
    <row r="1" spans="1:21" ht="7.5" customHeight="1" x14ac:dyDescent="0.25">
      <c r="A1" s="337"/>
      <c r="B1" s="338"/>
      <c r="C1" s="338"/>
      <c r="D1" s="214" t="s">
        <v>6</v>
      </c>
      <c r="E1" s="214"/>
      <c r="F1" s="214"/>
      <c r="G1" s="214"/>
      <c r="H1" s="214"/>
      <c r="I1" s="214"/>
      <c r="J1" s="214"/>
      <c r="K1" s="214"/>
      <c r="L1" s="217"/>
    </row>
    <row r="2" spans="1:21" ht="61.5" customHeight="1" thickBot="1" x14ac:dyDescent="0.3">
      <c r="A2" s="335"/>
      <c r="B2" s="336"/>
      <c r="C2" s="336"/>
      <c r="D2" s="215"/>
      <c r="E2" s="215"/>
      <c r="F2" s="215"/>
      <c r="G2" s="215"/>
      <c r="H2" s="215"/>
      <c r="I2" s="215"/>
      <c r="J2" s="215"/>
      <c r="K2" s="215"/>
      <c r="L2" s="334"/>
      <c r="M2" s="11"/>
      <c r="N2" s="11"/>
      <c r="O2" s="11"/>
      <c r="P2" s="11"/>
    </row>
    <row r="3" spans="1:21" ht="33" customHeight="1" thickBot="1" x14ac:dyDescent="0.4">
      <c r="A3" s="207"/>
      <c r="B3" s="208"/>
      <c r="C3" s="208"/>
      <c r="D3" s="205" t="s">
        <v>46</v>
      </c>
      <c r="E3" s="205"/>
      <c r="F3" s="205"/>
      <c r="G3" s="12"/>
      <c r="H3" s="205" t="s">
        <v>0</v>
      </c>
      <c r="I3" s="205"/>
      <c r="J3" s="205"/>
      <c r="K3" s="205"/>
      <c r="L3" s="206"/>
    </row>
    <row r="4" spans="1:21" ht="30.75" customHeight="1" thickBot="1" x14ac:dyDescent="0.3">
      <c r="A4" s="316" t="s">
        <v>2</v>
      </c>
      <c r="B4" s="309"/>
      <c r="C4" s="310" t="s">
        <v>114</v>
      </c>
      <c r="D4" s="309" t="s">
        <v>115</v>
      </c>
      <c r="E4" s="309"/>
      <c r="F4" s="309"/>
      <c r="G4" s="13"/>
      <c r="H4" s="286" t="s">
        <v>34</v>
      </c>
      <c r="I4" s="287" t="s">
        <v>49</v>
      </c>
      <c r="J4" s="288" t="s">
        <v>42</v>
      </c>
      <c r="K4" s="311" t="s">
        <v>53</v>
      </c>
      <c r="L4" s="312" t="s">
        <v>52</v>
      </c>
      <c r="N4" s="67"/>
      <c r="O4" s="67"/>
      <c r="P4" s="67"/>
      <c r="Q4" s="67"/>
      <c r="R4" s="67"/>
      <c r="S4" s="67"/>
      <c r="T4" s="67"/>
      <c r="U4" s="67"/>
    </row>
    <row r="5" spans="1:21" ht="15.75" thickBot="1" x14ac:dyDescent="0.3">
      <c r="A5" s="280" t="s">
        <v>71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2"/>
      <c r="N5" s="67"/>
      <c r="O5" s="67"/>
      <c r="P5" s="67"/>
      <c r="Q5" s="67"/>
      <c r="R5" s="67"/>
      <c r="S5" s="67"/>
      <c r="T5" s="67"/>
      <c r="U5" s="67"/>
    </row>
    <row r="6" spans="1:21" x14ac:dyDescent="0.25">
      <c r="A6" s="317" t="s">
        <v>71</v>
      </c>
      <c r="B6" s="313"/>
      <c r="C6" s="314"/>
      <c r="D6" s="315">
        <f>'REO SUPPLY ENTRY'!G27</f>
        <v>23700.783699999996</v>
      </c>
      <c r="E6" s="315"/>
      <c r="F6" s="315"/>
      <c r="G6" s="13"/>
      <c r="H6" s="323">
        <f>'REO SUPPLY ENTRY'!Q27</f>
        <v>0</v>
      </c>
      <c r="I6" s="329">
        <f>D6-H6</f>
        <v>23700.783699999996</v>
      </c>
      <c r="J6" s="329">
        <f>F6-I6</f>
        <v>-23700.783699999996</v>
      </c>
      <c r="K6" s="330"/>
      <c r="L6" s="325" t="e">
        <f>IF(#REF!=0,0,SUM(#REF!/#REF!))</f>
        <v>#REF!</v>
      </c>
    </row>
    <row r="7" spans="1:21" x14ac:dyDescent="0.25">
      <c r="A7" s="318" t="s">
        <v>90</v>
      </c>
      <c r="B7" s="306"/>
      <c r="C7" s="307"/>
      <c r="D7" s="303">
        <f>'REO SUPPLY ENTRY'!G39</f>
        <v>5696.6714999999995</v>
      </c>
      <c r="E7" s="303"/>
      <c r="F7" s="303"/>
      <c r="G7" s="13"/>
      <c r="H7" s="324">
        <f>'REO SUPPLY ENTRY'!Q39</f>
        <v>0</v>
      </c>
      <c r="I7" s="327">
        <f>D7-H7</f>
        <v>5696.6714999999995</v>
      </c>
      <c r="J7" s="327">
        <f>F7-I7</f>
        <v>-5696.6714999999995</v>
      </c>
      <c r="K7" s="328"/>
      <c r="L7" s="326" t="e">
        <f>IF(#REF!=0,0,SUM(#REF!/#REF!))</f>
        <v>#REF!</v>
      </c>
    </row>
    <row r="8" spans="1:21" x14ac:dyDescent="0.25">
      <c r="A8" s="318" t="s">
        <v>93</v>
      </c>
      <c r="B8" s="306"/>
      <c r="C8" s="307"/>
      <c r="D8" s="303">
        <f>'REO SUPPLY ENTRY'!G61</f>
        <v>46322.789315321425</v>
      </c>
      <c r="E8" s="303"/>
      <c r="F8" s="303"/>
      <c r="G8" s="13"/>
      <c r="H8" s="324">
        <f>'REO SUPPLY ENTRY'!Q61</f>
        <v>3243.3099999999995</v>
      </c>
      <c r="I8" s="327">
        <f>D8-H8</f>
        <v>43079.479315321427</v>
      </c>
      <c r="J8" s="327">
        <f>F8-I8</f>
        <v>-43079.479315321427</v>
      </c>
      <c r="K8" s="328"/>
      <c r="L8" s="326" t="e">
        <f>IF(#REF!=0,0,SUM(#REF!/#REF!))</f>
        <v>#REF!</v>
      </c>
    </row>
    <row r="9" spans="1:21" x14ac:dyDescent="0.25">
      <c r="A9" s="318" t="s">
        <v>94</v>
      </c>
      <c r="B9" s="306"/>
      <c r="C9" s="307"/>
      <c r="D9" s="303">
        <f>'REO SUPPLY ENTRY'!G72</f>
        <v>1678.125</v>
      </c>
      <c r="E9" s="303"/>
      <c r="F9" s="303"/>
      <c r="G9" s="13"/>
      <c r="H9" s="324">
        <f>'REO SUPPLY ENTRY'!Q72</f>
        <v>0</v>
      </c>
      <c r="I9" s="327">
        <f>D9-H9</f>
        <v>1678.125</v>
      </c>
      <c r="J9" s="327">
        <f>F9-I9</f>
        <v>-1678.125</v>
      </c>
      <c r="K9" s="328"/>
      <c r="L9" s="326" t="e">
        <f>IF(#REF!=0,0,SUM(#REF!/#REF!))</f>
        <v>#REF!</v>
      </c>
    </row>
    <row r="10" spans="1:21" x14ac:dyDescent="0.25">
      <c r="A10" s="318" t="s">
        <v>95</v>
      </c>
      <c r="B10" s="306"/>
      <c r="C10" s="307"/>
      <c r="D10" s="304">
        <f>'REO SUPPLY ENTRY'!G82</f>
        <v>26899.85</v>
      </c>
      <c r="E10" s="304"/>
      <c r="F10" s="304"/>
      <c r="G10" s="13"/>
      <c r="H10" s="324">
        <f>'REO SUPPLY ENTRY'!Q82</f>
        <v>0</v>
      </c>
      <c r="I10" s="327">
        <f>D10-H10</f>
        <v>26899.85</v>
      </c>
      <c r="J10" s="327">
        <f>F10-I10</f>
        <v>-26899.85</v>
      </c>
      <c r="K10" s="328"/>
      <c r="L10" s="326" t="e">
        <f>IF(#REF!=0,0,SUM(#REF!/#REF!))</f>
        <v>#REF!</v>
      </c>
    </row>
    <row r="11" spans="1:21" ht="21.75" thickBot="1" x14ac:dyDescent="0.4">
      <c r="A11" s="319" t="s">
        <v>116</v>
      </c>
      <c r="B11" s="320"/>
      <c r="C11" s="321"/>
      <c r="D11" s="322">
        <f>SUM(D6:F10)</f>
        <v>104298.21951532143</v>
      </c>
      <c r="E11" s="322"/>
      <c r="F11" s="322"/>
      <c r="G11" s="20"/>
      <c r="H11" s="331">
        <f>SUM(H6:H10)</f>
        <v>3243.3099999999995</v>
      </c>
      <c r="I11" s="305">
        <f>SUM(I6:I10)</f>
        <v>101054.90951532143</v>
      </c>
      <c r="J11" s="332"/>
      <c r="K11" s="332"/>
      <c r="L11" s="333"/>
    </row>
    <row r="12" spans="1:21" ht="21" x14ac:dyDescent="0.35">
      <c r="A12" s="340" t="s">
        <v>117</v>
      </c>
      <c r="B12" s="341">
        <f>H11/D11</f>
        <v>3.1096503996633967E-2</v>
      </c>
      <c r="C12" s="339"/>
      <c r="D12" s="339"/>
      <c r="E12" s="339"/>
      <c r="F12" s="339"/>
      <c r="G12" s="339"/>
      <c r="H12" s="339"/>
    </row>
    <row r="13" spans="1:21" ht="21" x14ac:dyDescent="0.35">
      <c r="A13" s="340" t="s">
        <v>118</v>
      </c>
      <c r="B13" s="341">
        <f>(H11/D11)-1</f>
        <v>-0.968903496003366</v>
      </c>
      <c r="C13" s="339"/>
      <c r="D13" s="339"/>
      <c r="E13" s="339"/>
      <c r="F13" s="339"/>
      <c r="G13" s="339"/>
      <c r="H13" s="339"/>
    </row>
    <row r="14" spans="1:21" ht="21" x14ac:dyDescent="0.35">
      <c r="A14" s="340" t="s">
        <v>119</v>
      </c>
      <c r="B14" s="342">
        <f>D11</f>
        <v>104298.21951532143</v>
      </c>
      <c r="C14" s="199"/>
      <c r="D14" s="199"/>
      <c r="E14" s="199"/>
      <c r="F14" s="199"/>
      <c r="G14" s="199"/>
      <c r="H14" s="199"/>
    </row>
    <row r="15" spans="1:21" ht="21" x14ac:dyDescent="0.35">
      <c r="A15" s="340" t="s">
        <v>120</v>
      </c>
      <c r="B15" s="342">
        <f>D11-I11</f>
        <v>3243.3099999999977</v>
      </c>
      <c r="C15" s="199"/>
      <c r="D15" s="199"/>
      <c r="E15" s="199"/>
      <c r="F15" s="199"/>
      <c r="G15" s="199"/>
      <c r="H15" s="199"/>
    </row>
    <row r="16" spans="1:21" ht="21" x14ac:dyDescent="0.35">
      <c r="A16" s="340" t="s">
        <v>121</v>
      </c>
      <c r="B16" s="343">
        <f>B14-B15</f>
        <v>101054.90951532143</v>
      </c>
      <c r="C16" s="339"/>
      <c r="D16" s="339"/>
      <c r="E16" s="339"/>
      <c r="F16" s="339"/>
      <c r="G16" s="339"/>
      <c r="H16" s="339"/>
    </row>
    <row r="17" spans="1:10" x14ac:dyDescent="0.25">
      <c r="A17" s="199"/>
      <c r="B17" s="199"/>
      <c r="C17" s="199"/>
      <c r="D17" s="199"/>
      <c r="E17" s="199"/>
      <c r="F17" s="199"/>
      <c r="G17" s="199"/>
      <c r="H17" s="199"/>
    </row>
    <row r="18" spans="1:10" ht="17.25" x14ac:dyDescent="0.4">
      <c r="A18" s="204"/>
      <c r="B18" s="204"/>
      <c r="C18" s="204"/>
      <c r="D18" s="204"/>
      <c r="E18" s="204"/>
      <c r="F18" s="204"/>
      <c r="G18" s="204"/>
      <c r="H18" s="204"/>
    </row>
    <row r="24" spans="1:10" x14ac:dyDescent="0.25">
      <c r="J24" s="152"/>
    </row>
    <row r="26" spans="1:10" ht="21" x14ac:dyDescent="0.35">
      <c r="I26" s="200"/>
    </row>
    <row r="27" spans="1:10" ht="15.75" x14ac:dyDescent="0.25">
      <c r="B27" s="203"/>
      <c r="C27" s="203"/>
      <c r="D27" s="203"/>
      <c r="H27" s="201"/>
      <c r="I27" s="173"/>
    </row>
    <row r="28" spans="1:10" ht="15.75" x14ac:dyDescent="0.25">
      <c r="H28" s="201"/>
      <c r="I28" s="173"/>
    </row>
    <row r="29" spans="1:10" ht="15.75" x14ac:dyDescent="0.25">
      <c r="H29" s="201"/>
      <c r="I29" s="174"/>
    </row>
    <row r="30" spans="1:10" ht="15.75" x14ac:dyDescent="0.25">
      <c r="H30" s="201"/>
      <c r="I30" s="174"/>
    </row>
    <row r="31" spans="1:10" ht="15.75" x14ac:dyDescent="0.25">
      <c r="I31" s="173"/>
    </row>
    <row r="32" spans="1:10" ht="15.75" x14ac:dyDescent="0.25">
      <c r="H32" s="201"/>
      <c r="I32" s="173"/>
    </row>
    <row r="33" spans="8:9" ht="15.75" x14ac:dyDescent="0.25">
      <c r="H33" s="201"/>
      <c r="I33" s="173"/>
    </row>
  </sheetData>
  <mergeCells count="21">
    <mergeCell ref="D1:L2"/>
    <mergeCell ref="D11:F11"/>
    <mergeCell ref="D4:F4"/>
    <mergeCell ref="D6:F6"/>
    <mergeCell ref="D7:F7"/>
    <mergeCell ref="D8:F8"/>
    <mergeCell ref="D9:F9"/>
    <mergeCell ref="A18:H18"/>
    <mergeCell ref="B27:D27"/>
    <mergeCell ref="A11:B11"/>
    <mergeCell ref="A5:L5"/>
    <mergeCell ref="A6:B6"/>
    <mergeCell ref="A7:B7"/>
    <mergeCell ref="A8:B8"/>
    <mergeCell ref="A9:B9"/>
    <mergeCell ref="A10:B10"/>
    <mergeCell ref="D10:F10"/>
    <mergeCell ref="A3:C3"/>
    <mergeCell ref="D3:F3"/>
    <mergeCell ref="H3:L3"/>
    <mergeCell ref="A4:B4"/>
  </mergeCells>
  <conditionalFormatting sqref="L6:L10">
    <cfRule type="cellIs" dxfId="39" priority="11" operator="lessThan">
      <formula>$K$6</formula>
    </cfRule>
    <cfRule type="cellIs" dxfId="38" priority="12" operator="greaterThan">
      <formula>$K$6</formula>
    </cfRule>
  </conditionalFormatting>
  <conditionalFormatting sqref="I6:I10">
    <cfRule type="cellIs" dxfId="37" priority="7" operator="greaterThan">
      <formula>0</formula>
    </cfRule>
    <cfRule type="cellIs" dxfId="36" priority="8" operator="lessThan">
      <formula>0</formula>
    </cfRule>
  </conditionalFormatting>
  <conditionalFormatting sqref="J6:J10">
    <cfRule type="cellIs" dxfId="35" priority="5" operator="greaterThan">
      <formula>0</formula>
    </cfRule>
    <cfRule type="cellIs" dxfId="34" priority="6" operator="lessThan">
      <formula>0</formula>
    </cfRule>
  </conditionalFormatting>
  <conditionalFormatting sqref="B16">
    <cfRule type="cellIs" dxfId="33" priority="1" operator="greaterThan">
      <formula>0</formula>
    </cfRule>
    <cfRule type="cellIs" dxfId="32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77" fitToHeight="2" orientation="landscape" r:id="rId1"/>
  <headerFooter>
    <oddFooter>Page &amp;P&amp;R&amp;Z&amp;F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6"/>
  <sheetViews>
    <sheetView workbookViewId="0">
      <pane ySplit="5" topLeftCell="A42" activePane="bottomLeft" state="frozen"/>
      <selection pane="bottomLeft" activeCell="C70" sqref="C70"/>
    </sheetView>
  </sheetViews>
  <sheetFormatPr defaultRowHeight="15" x14ac:dyDescent="0.25"/>
  <cols>
    <col min="1" max="1" width="5" customWidth="1"/>
    <col min="2" max="2" width="29.7109375" style="2" customWidth="1"/>
    <col min="3" max="3" width="11.28515625" customWidth="1"/>
    <col min="4" max="4" width="9" style="1" customWidth="1"/>
    <col min="5" max="5" width="11" style="1" customWidth="1"/>
    <col min="6" max="6" width="13.5703125" style="1" customWidth="1"/>
    <col min="7" max="7" width="12.42578125" style="1" customWidth="1"/>
    <col min="8" max="8" width="11.85546875" style="1" hidden="1" customWidth="1"/>
    <col min="9" max="9" width="11.28515625" hidden="1" customWidth="1"/>
    <col min="10" max="10" width="1.85546875" customWidth="1"/>
    <col min="11" max="11" width="13.28515625" customWidth="1"/>
    <col min="12" max="12" width="10.5703125" customWidth="1"/>
    <col min="13" max="13" width="11.85546875" customWidth="1"/>
    <col min="14" max="14" width="11.5703125" customWidth="1"/>
    <col min="15" max="15" width="13.140625" customWidth="1"/>
    <col min="16" max="16" width="14.5703125" customWidth="1"/>
    <col min="17" max="19" width="14.28515625" customWidth="1"/>
    <col min="20" max="20" width="13" customWidth="1"/>
    <col min="21" max="21" width="14.5703125" customWidth="1"/>
    <col min="22" max="22" width="6.5703125" customWidth="1"/>
    <col min="23" max="23" width="11" customWidth="1"/>
    <col min="24" max="24" width="9.140625" bestFit="1" customWidth="1"/>
    <col min="25" max="25" width="11.5703125" bestFit="1" customWidth="1"/>
    <col min="26" max="26" width="9" customWidth="1"/>
    <col min="27" max="27" width="11.7109375" customWidth="1"/>
    <col min="28" max="28" width="16.7109375" customWidth="1"/>
    <col min="29" max="29" width="22.140625" customWidth="1"/>
    <col min="30" max="30" width="46" customWidth="1"/>
  </cols>
  <sheetData>
    <row r="1" spans="1:30" ht="7.5" customHeight="1" x14ac:dyDescent="0.55000000000000004">
      <c r="A1" s="95"/>
      <c r="B1" s="96"/>
      <c r="C1" s="96"/>
      <c r="D1" s="214" t="s">
        <v>6</v>
      </c>
      <c r="E1" s="214"/>
      <c r="F1" s="214"/>
      <c r="G1" s="214"/>
      <c r="H1" s="214"/>
      <c r="I1" s="214"/>
      <c r="J1" s="214"/>
      <c r="K1" s="214"/>
      <c r="L1" s="214"/>
      <c r="M1" s="197"/>
      <c r="N1" s="197"/>
      <c r="O1" s="197"/>
      <c r="P1" s="197"/>
      <c r="Q1" s="210"/>
      <c r="R1" s="210"/>
      <c r="S1" s="210"/>
      <c r="T1" s="210"/>
      <c r="U1" s="211"/>
    </row>
    <row r="2" spans="1:30" ht="61.5" customHeight="1" thickBot="1" x14ac:dyDescent="0.6">
      <c r="A2" s="97"/>
      <c r="B2" s="98"/>
      <c r="C2" s="98"/>
      <c r="D2" s="215"/>
      <c r="E2" s="215"/>
      <c r="F2" s="215"/>
      <c r="G2" s="215"/>
      <c r="H2" s="215"/>
      <c r="I2" s="215"/>
      <c r="J2" s="215"/>
      <c r="K2" s="215"/>
      <c r="L2" s="215"/>
      <c r="M2" s="198"/>
      <c r="N2" s="198"/>
      <c r="O2" s="198"/>
      <c r="P2" s="198"/>
      <c r="Q2" s="212"/>
      <c r="R2" s="212"/>
      <c r="S2" s="212"/>
      <c r="T2" s="212"/>
      <c r="U2" s="213"/>
      <c r="V2" s="11"/>
      <c r="W2" s="11"/>
      <c r="X2" s="11"/>
      <c r="Y2" s="11"/>
    </row>
    <row r="3" spans="1:30" ht="33" customHeight="1" thickBot="1" x14ac:dyDescent="0.4">
      <c r="A3" s="207"/>
      <c r="B3" s="208"/>
      <c r="C3" s="208"/>
      <c r="D3" s="205" t="s">
        <v>46</v>
      </c>
      <c r="E3" s="205"/>
      <c r="F3" s="205"/>
      <c r="G3" s="205"/>
      <c r="H3" s="205"/>
      <c r="I3" s="205"/>
      <c r="J3" s="12"/>
      <c r="K3" s="205" t="s">
        <v>0</v>
      </c>
      <c r="L3" s="205"/>
      <c r="M3" s="205"/>
      <c r="N3" s="205"/>
      <c r="O3" s="205"/>
      <c r="P3" s="205"/>
      <c r="Q3" s="205"/>
      <c r="R3" s="205"/>
      <c r="S3" s="205"/>
      <c r="T3" s="205"/>
      <c r="U3" s="206"/>
    </row>
    <row r="4" spans="1:30" ht="33" customHeight="1" x14ac:dyDescent="0.35">
      <c r="A4" s="283" t="s">
        <v>2</v>
      </c>
      <c r="B4" s="345"/>
      <c r="C4" s="345" t="s">
        <v>1</v>
      </c>
      <c r="D4" s="345" t="s">
        <v>3</v>
      </c>
      <c r="E4" s="345" t="s">
        <v>4</v>
      </c>
      <c r="F4" s="345" t="s">
        <v>7</v>
      </c>
      <c r="G4" s="345" t="s">
        <v>8</v>
      </c>
      <c r="H4" s="344"/>
      <c r="I4" s="344"/>
      <c r="J4" s="13"/>
      <c r="K4" s="308" t="s">
        <v>123</v>
      </c>
      <c r="L4" s="308"/>
      <c r="M4" s="308" t="s">
        <v>124</v>
      </c>
      <c r="N4" s="308"/>
      <c r="O4" s="308" t="s">
        <v>125</v>
      </c>
      <c r="P4" s="308"/>
      <c r="Q4" s="348" t="s">
        <v>23</v>
      </c>
      <c r="R4" s="348" t="s">
        <v>112</v>
      </c>
      <c r="S4" s="348" t="s">
        <v>113</v>
      </c>
      <c r="T4" s="350" t="s">
        <v>109</v>
      </c>
      <c r="U4" s="352" t="s">
        <v>110</v>
      </c>
    </row>
    <row r="5" spans="1:30" ht="15.75" thickBot="1" x14ac:dyDescent="0.3">
      <c r="A5" s="346"/>
      <c r="B5" s="347"/>
      <c r="C5" s="347"/>
      <c r="D5" s="347"/>
      <c r="E5" s="347"/>
      <c r="F5" s="347"/>
      <c r="G5" s="347"/>
      <c r="H5" s="284"/>
      <c r="I5" s="285"/>
      <c r="J5" s="13"/>
      <c r="K5" s="286" t="s">
        <v>34</v>
      </c>
      <c r="L5" s="287" t="s">
        <v>108</v>
      </c>
      <c r="M5" s="286" t="s">
        <v>34</v>
      </c>
      <c r="N5" s="287" t="s">
        <v>108</v>
      </c>
      <c r="O5" s="286" t="s">
        <v>34</v>
      </c>
      <c r="P5" s="287" t="s">
        <v>108</v>
      </c>
      <c r="Q5" s="349"/>
      <c r="R5" s="349"/>
      <c r="S5" s="349"/>
      <c r="T5" s="351"/>
      <c r="U5" s="353"/>
      <c r="W5" s="67"/>
      <c r="X5" s="67"/>
      <c r="Y5" s="67"/>
      <c r="Z5" s="67"/>
      <c r="AA5" s="67"/>
      <c r="AB5" s="67"/>
      <c r="AC5" s="67"/>
      <c r="AD5" s="67"/>
    </row>
    <row r="6" spans="1:30" ht="15.75" thickBot="1" x14ac:dyDescent="0.3">
      <c r="A6" s="280" t="s">
        <v>71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2"/>
      <c r="W6" s="67"/>
      <c r="X6" s="67"/>
      <c r="Y6" s="67"/>
      <c r="Z6" s="67"/>
      <c r="AA6" s="67"/>
      <c r="AB6" s="67"/>
      <c r="AC6" s="67"/>
      <c r="AD6" s="67"/>
    </row>
    <row r="7" spans="1:30" x14ac:dyDescent="0.25">
      <c r="A7" s="225" t="s">
        <v>72</v>
      </c>
      <c r="B7" s="226"/>
      <c r="C7" s="269" t="s">
        <v>73</v>
      </c>
      <c r="D7" s="289">
        <v>0.15</v>
      </c>
      <c r="E7" s="271" t="s">
        <v>5</v>
      </c>
      <c r="F7" s="272">
        <v>1215</v>
      </c>
      <c r="G7" s="273">
        <f>D7*F7</f>
        <v>182.25</v>
      </c>
      <c r="H7" s="274"/>
      <c r="I7" s="275"/>
      <c r="J7" s="256"/>
      <c r="K7" s="276"/>
      <c r="L7" s="277"/>
      <c r="M7" s="277"/>
      <c r="N7" s="277"/>
      <c r="O7" s="277"/>
      <c r="P7" s="277"/>
      <c r="Q7" s="278">
        <f>K7*L7</f>
        <v>0</v>
      </c>
      <c r="R7" s="278"/>
      <c r="S7" s="278"/>
      <c r="T7" s="278"/>
      <c r="U7" s="279"/>
    </row>
    <row r="8" spans="1:30" x14ac:dyDescent="0.25">
      <c r="A8" s="227" t="s">
        <v>74</v>
      </c>
      <c r="B8" s="228"/>
      <c r="C8" s="4" t="s">
        <v>75</v>
      </c>
      <c r="D8" s="231">
        <v>1.1892</v>
      </c>
      <c r="E8" s="232" t="s">
        <v>5</v>
      </c>
      <c r="F8" s="233">
        <v>1315</v>
      </c>
      <c r="G8" s="234">
        <f t="shared" ref="G8:G10" si="0">D8*F8</f>
        <v>1563.798</v>
      </c>
      <c r="H8" s="5"/>
      <c r="I8" s="251"/>
      <c r="J8" s="256"/>
      <c r="K8" s="253"/>
      <c r="L8" s="92"/>
      <c r="M8" s="92"/>
      <c r="N8" s="92"/>
      <c r="O8" s="92"/>
      <c r="P8" s="92"/>
      <c r="Q8" s="99">
        <f t="shared" ref="Q8:Q26" si="1">K8*L8</f>
        <v>0</v>
      </c>
      <c r="R8" s="99"/>
      <c r="S8" s="99"/>
      <c r="T8" s="99"/>
      <c r="U8" s="245"/>
    </row>
    <row r="9" spans="1:30" x14ac:dyDescent="0.25">
      <c r="A9" s="227" t="s">
        <v>74</v>
      </c>
      <c r="B9" s="228"/>
      <c r="C9" s="4" t="s">
        <v>73</v>
      </c>
      <c r="D9" s="231">
        <v>2.0731000000000002</v>
      </c>
      <c r="E9" s="232" t="s">
        <v>5</v>
      </c>
      <c r="F9" s="233">
        <v>1215</v>
      </c>
      <c r="G9" s="234">
        <f t="shared" si="0"/>
        <v>2518.8165000000004</v>
      </c>
      <c r="H9" s="5"/>
      <c r="I9" s="251"/>
      <c r="J9" s="256"/>
      <c r="K9" s="254"/>
      <c r="L9" s="92"/>
      <c r="M9" s="92"/>
      <c r="N9" s="92"/>
      <c r="O9" s="92"/>
      <c r="P9" s="92"/>
      <c r="Q9" s="99">
        <f t="shared" si="1"/>
        <v>0</v>
      </c>
      <c r="R9" s="99"/>
      <c r="S9" s="99"/>
      <c r="T9" s="99"/>
      <c r="U9" s="245"/>
    </row>
    <row r="10" spans="1:30" x14ac:dyDescent="0.25">
      <c r="A10" s="227" t="s">
        <v>74</v>
      </c>
      <c r="B10" s="228"/>
      <c r="C10" s="4" t="s">
        <v>76</v>
      </c>
      <c r="D10" s="231">
        <v>1.69</v>
      </c>
      <c r="E10" s="232" t="s">
        <v>5</v>
      </c>
      <c r="F10" s="233">
        <v>1215</v>
      </c>
      <c r="G10" s="234">
        <f t="shared" si="0"/>
        <v>2053.35</v>
      </c>
      <c r="H10" s="5"/>
      <c r="I10" s="251"/>
      <c r="J10" s="256"/>
      <c r="K10" s="254"/>
      <c r="L10" s="92"/>
      <c r="M10" s="92"/>
      <c r="N10" s="92"/>
      <c r="O10" s="92"/>
      <c r="P10" s="92"/>
      <c r="Q10" s="99">
        <f t="shared" si="1"/>
        <v>0</v>
      </c>
      <c r="R10" s="99"/>
      <c r="S10" s="99"/>
      <c r="T10" s="99"/>
      <c r="U10" s="245"/>
    </row>
    <row r="11" spans="1:30" x14ac:dyDescent="0.25">
      <c r="A11" s="227" t="s">
        <v>77</v>
      </c>
      <c r="B11" s="228"/>
      <c r="C11" s="4" t="s">
        <v>73</v>
      </c>
      <c r="D11" s="235">
        <v>0.1542</v>
      </c>
      <c r="E11" s="232" t="s">
        <v>5</v>
      </c>
      <c r="F11" s="233">
        <v>1215</v>
      </c>
      <c r="G11" s="234">
        <f>D11*F11</f>
        <v>187.35300000000001</v>
      </c>
      <c r="H11" s="5"/>
      <c r="I11" s="251"/>
      <c r="J11" s="256"/>
      <c r="K11" s="254"/>
      <c r="L11" s="92"/>
      <c r="M11" s="92"/>
      <c r="N11" s="92"/>
      <c r="O11" s="92"/>
      <c r="P11" s="92"/>
      <c r="Q11" s="99">
        <f t="shared" si="1"/>
        <v>0</v>
      </c>
      <c r="R11" s="99"/>
      <c r="S11" s="99"/>
      <c r="T11" s="99"/>
      <c r="U11" s="245"/>
    </row>
    <row r="12" spans="1:30" x14ac:dyDescent="0.25">
      <c r="A12" s="227" t="s">
        <v>78</v>
      </c>
      <c r="B12" s="228"/>
      <c r="C12" s="4" t="s">
        <v>76</v>
      </c>
      <c r="D12" s="231">
        <f>0.5999+0.1539</f>
        <v>0.75380000000000003</v>
      </c>
      <c r="E12" s="232" t="s">
        <v>5</v>
      </c>
      <c r="F12" s="233">
        <v>1215</v>
      </c>
      <c r="G12" s="234">
        <f>D12*F12</f>
        <v>915.86700000000008</v>
      </c>
      <c r="H12" s="5"/>
      <c r="I12" s="251"/>
      <c r="J12" s="256"/>
      <c r="K12" s="254"/>
      <c r="L12" s="92"/>
      <c r="M12" s="92"/>
      <c r="N12" s="92"/>
      <c r="O12" s="92"/>
      <c r="P12" s="92"/>
      <c r="Q12" s="99">
        <f t="shared" si="1"/>
        <v>0</v>
      </c>
      <c r="R12" s="99"/>
      <c r="S12" s="99"/>
      <c r="T12" s="99"/>
      <c r="U12" s="245"/>
    </row>
    <row r="13" spans="1:30" x14ac:dyDescent="0.25">
      <c r="A13" s="227" t="s">
        <v>78</v>
      </c>
      <c r="B13" s="228"/>
      <c r="C13" s="4" t="s">
        <v>73</v>
      </c>
      <c r="D13" s="231">
        <v>0.35089999999999999</v>
      </c>
      <c r="E13" s="232" t="s">
        <v>5</v>
      </c>
      <c r="F13" s="233">
        <v>1215</v>
      </c>
      <c r="G13" s="234">
        <f>D13*F13</f>
        <v>426.34350000000001</v>
      </c>
      <c r="H13" s="5"/>
      <c r="I13" s="251"/>
      <c r="J13" s="256"/>
      <c r="K13" s="258"/>
      <c r="L13" s="92"/>
      <c r="M13" s="92"/>
      <c r="N13" s="92"/>
      <c r="O13" s="92"/>
      <c r="P13" s="92"/>
      <c r="Q13" s="99">
        <f t="shared" si="1"/>
        <v>0</v>
      </c>
      <c r="R13" s="99"/>
      <c r="S13" s="99"/>
      <c r="T13" s="99"/>
      <c r="U13" s="245"/>
    </row>
    <row r="14" spans="1:30" x14ac:dyDescent="0.25">
      <c r="A14" s="227" t="s">
        <v>79</v>
      </c>
      <c r="B14" s="228"/>
      <c r="C14" s="4" t="s">
        <v>76</v>
      </c>
      <c r="D14" s="235">
        <v>1.7201</v>
      </c>
      <c r="E14" s="236" t="s">
        <v>5</v>
      </c>
      <c r="F14" s="233">
        <v>1215</v>
      </c>
      <c r="G14" s="234">
        <f>D14*F14</f>
        <v>2089.9214999999999</v>
      </c>
      <c r="H14" s="5"/>
      <c r="I14" s="251"/>
      <c r="J14" s="256"/>
      <c r="K14" s="254"/>
      <c r="L14" s="92"/>
      <c r="M14" s="92"/>
      <c r="N14" s="92"/>
      <c r="O14" s="92"/>
      <c r="P14" s="92"/>
      <c r="Q14" s="99">
        <f t="shared" si="1"/>
        <v>0</v>
      </c>
      <c r="R14" s="99"/>
      <c r="S14" s="99"/>
      <c r="T14" s="99"/>
      <c r="U14" s="245"/>
    </row>
    <row r="15" spans="1:30" x14ac:dyDescent="0.25">
      <c r="A15" s="227" t="s">
        <v>79</v>
      </c>
      <c r="B15" s="228"/>
      <c r="C15" s="4" t="s">
        <v>80</v>
      </c>
      <c r="D15" s="237">
        <v>67</v>
      </c>
      <c r="E15" s="232" t="s">
        <v>83</v>
      </c>
      <c r="F15" s="246">
        <v>93.6</v>
      </c>
      <c r="G15" s="234">
        <f t="shared" ref="G15:G17" si="2">D15*F15</f>
        <v>6271.2</v>
      </c>
      <c r="H15" s="5"/>
      <c r="I15" s="251"/>
      <c r="J15" s="256"/>
      <c r="K15" s="254"/>
      <c r="L15" s="92"/>
      <c r="M15" s="92"/>
      <c r="N15" s="92"/>
      <c r="O15" s="92"/>
      <c r="P15" s="92"/>
      <c r="Q15" s="99">
        <f t="shared" si="1"/>
        <v>0</v>
      </c>
      <c r="R15" s="99"/>
      <c r="S15" s="99"/>
      <c r="T15" s="99"/>
      <c r="U15" s="245"/>
    </row>
    <row r="16" spans="1:30" x14ac:dyDescent="0.25">
      <c r="A16" s="227" t="s">
        <v>79</v>
      </c>
      <c r="B16" s="228"/>
      <c r="C16" s="4" t="s">
        <v>81</v>
      </c>
      <c r="D16" s="237">
        <v>2</v>
      </c>
      <c r="E16" s="232" t="s">
        <v>83</v>
      </c>
      <c r="F16" s="233">
        <v>46.8</v>
      </c>
      <c r="G16" s="234">
        <f t="shared" si="2"/>
        <v>93.6</v>
      </c>
      <c r="H16" s="5"/>
      <c r="I16" s="251"/>
      <c r="J16" s="256"/>
      <c r="K16" s="254"/>
      <c r="L16" s="92"/>
      <c r="M16" s="92"/>
      <c r="N16" s="92"/>
      <c r="O16" s="92"/>
      <c r="P16" s="92"/>
      <c r="Q16" s="99">
        <f t="shared" si="1"/>
        <v>0</v>
      </c>
      <c r="R16" s="99"/>
      <c r="S16" s="99"/>
      <c r="T16" s="99"/>
      <c r="U16" s="245"/>
    </row>
    <row r="17" spans="1:21" x14ac:dyDescent="0.25">
      <c r="A17" s="227" t="s">
        <v>79</v>
      </c>
      <c r="B17" s="228"/>
      <c r="C17" s="4" t="s">
        <v>82</v>
      </c>
      <c r="D17" s="231">
        <v>192</v>
      </c>
      <c r="E17" s="232" t="s">
        <v>83</v>
      </c>
      <c r="F17" s="233">
        <v>16.899999999999999</v>
      </c>
      <c r="G17" s="234">
        <f t="shared" si="2"/>
        <v>3244.7999999999997</v>
      </c>
      <c r="H17" s="5"/>
      <c r="I17" s="251"/>
      <c r="J17" s="256"/>
      <c r="K17" s="254"/>
      <c r="L17" s="92"/>
      <c r="M17" s="92"/>
      <c r="N17" s="92"/>
      <c r="O17" s="92"/>
      <c r="P17" s="92"/>
      <c r="Q17" s="99">
        <f t="shared" si="1"/>
        <v>0</v>
      </c>
      <c r="R17" s="99"/>
      <c r="S17" s="99"/>
      <c r="T17" s="99"/>
      <c r="U17" s="245"/>
    </row>
    <row r="18" spans="1:21" x14ac:dyDescent="0.25">
      <c r="A18" s="227" t="s">
        <v>79</v>
      </c>
      <c r="B18" s="228"/>
      <c r="C18" s="4"/>
      <c r="D18" s="5"/>
      <c r="E18" s="5"/>
      <c r="F18" s="23"/>
      <c r="G18" s="23"/>
      <c r="H18" s="5"/>
      <c r="I18" s="251"/>
      <c r="J18" s="256"/>
      <c r="K18" s="254"/>
      <c r="L18" s="92"/>
      <c r="M18" s="92"/>
      <c r="N18" s="92"/>
      <c r="O18" s="92"/>
      <c r="P18" s="92"/>
      <c r="Q18" s="99">
        <f t="shared" si="1"/>
        <v>0</v>
      </c>
      <c r="R18" s="99"/>
      <c r="S18" s="99"/>
      <c r="T18" s="99"/>
      <c r="U18" s="245"/>
    </row>
    <row r="19" spans="1:21" x14ac:dyDescent="0.25">
      <c r="A19" s="227" t="s">
        <v>79</v>
      </c>
      <c r="B19" s="228"/>
      <c r="C19" s="4"/>
      <c r="D19" s="5"/>
      <c r="E19" s="5"/>
      <c r="F19" s="23"/>
      <c r="G19" s="23"/>
      <c r="H19" s="5"/>
      <c r="I19" s="251"/>
      <c r="J19" s="256"/>
      <c r="K19" s="254"/>
      <c r="L19" s="92"/>
      <c r="M19" s="92"/>
      <c r="N19" s="92"/>
      <c r="O19" s="92"/>
      <c r="P19" s="92"/>
      <c r="Q19" s="99">
        <f t="shared" si="1"/>
        <v>0</v>
      </c>
      <c r="R19" s="99"/>
      <c r="S19" s="99"/>
      <c r="T19" s="99"/>
      <c r="U19" s="245"/>
    </row>
    <row r="20" spans="1:21" x14ac:dyDescent="0.25">
      <c r="A20" s="227" t="s">
        <v>79</v>
      </c>
      <c r="B20" s="228"/>
      <c r="C20" s="4"/>
      <c r="D20" s="5"/>
      <c r="E20" s="5"/>
      <c r="F20" s="23"/>
      <c r="G20" s="23"/>
      <c r="H20" s="5"/>
      <c r="I20" s="251"/>
      <c r="J20" s="256"/>
      <c r="K20" s="254"/>
      <c r="L20" s="92"/>
      <c r="M20" s="92"/>
      <c r="N20" s="92"/>
      <c r="O20" s="92"/>
      <c r="P20" s="92"/>
      <c r="Q20" s="99">
        <f t="shared" si="1"/>
        <v>0</v>
      </c>
      <c r="R20" s="99"/>
      <c r="S20" s="99"/>
      <c r="T20" s="99"/>
      <c r="U20" s="245"/>
    </row>
    <row r="21" spans="1:21" x14ac:dyDescent="0.25">
      <c r="A21" s="227" t="s">
        <v>79</v>
      </c>
      <c r="B21" s="228"/>
      <c r="C21" s="4"/>
      <c r="D21" s="5"/>
      <c r="E21" s="5"/>
      <c r="F21" s="23"/>
      <c r="G21" s="23"/>
      <c r="H21" s="5"/>
      <c r="I21" s="251"/>
      <c r="J21" s="256"/>
      <c r="K21" s="254"/>
      <c r="L21" s="92"/>
      <c r="M21" s="92"/>
      <c r="N21" s="92"/>
      <c r="O21" s="92"/>
      <c r="P21" s="92"/>
      <c r="Q21" s="99">
        <f t="shared" si="1"/>
        <v>0</v>
      </c>
      <c r="R21" s="99"/>
      <c r="S21" s="99"/>
      <c r="T21" s="99"/>
      <c r="U21" s="245"/>
    </row>
    <row r="22" spans="1:21" x14ac:dyDescent="0.25">
      <c r="A22" s="227" t="s">
        <v>84</v>
      </c>
      <c r="B22" s="228"/>
      <c r="C22" s="4" t="s">
        <v>85</v>
      </c>
      <c r="D22" s="239">
        <v>0.24</v>
      </c>
      <c r="E22" s="232" t="s">
        <v>5</v>
      </c>
      <c r="F22" s="233">
        <v>1215</v>
      </c>
      <c r="G22" s="234">
        <f t="shared" ref="G22:G26" si="3">D22*F22</f>
        <v>291.59999999999997</v>
      </c>
      <c r="H22" s="5"/>
      <c r="I22" s="251"/>
      <c r="J22" s="256"/>
      <c r="K22" s="254"/>
      <c r="L22" s="92"/>
      <c r="M22" s="92"/>
      <c r="N22" s="92"/>
      <c r="O22" s="92"/>
      <c r="P22" s="92"/>
      <c r="Q22" s="99">
        <f t="shared" si="1"/>
        <v>0</v>
      </c>
      <c r="R22" s="99"/>
      <c r="S22" s="99"/>
      <c r="T22" s="99"/>
      <c r="U22" s="245"/>
    </row>
    <row r="23" spans="1:21" x14ac:dyDescent="0.25">
      <c r="A23" s="227" t="s">
        <v>86</v>
      </c>
      <c r="B23" s="228"/>
      <c r="C23" s="4" t="s">
        <v>87</v>
      </c>
      <c r="D23" s="239">
        <v>37</v>
      </c>
      <c r="E23" s="232" t="s">
        <v>83</v>
      </c>
      <c r="F23" s="233">
        <v>59.8</v>
      </c>
      <c r="G23" s="234">
        <f t="shared" si="3"/>
        <v>2212.6</v>
      </c>
      <c r="H23" s="5"/>
      <c r="I23" s="251"/>
      <c r="J23" s="256"/>
      <c r="K23" s="254"/>
      <c r="L23" s="92"/>
      <c r="M23" s="92"/>
      <c r="N23" s="92"/>
      <c r="O23" s="92"/>
      <c r="P23" s="92"/>
      <c r="Q23" s="99">
        <f t="shared" si="1"/>
        <v>0</v>
      </c>
      <c r="R23" s="99"/>
      <c r="S23" s="99"/>
      <c r="T23" s="99"/>
      <c r="U23" s="245"/>
    </row>
    <row r="24" spans="1:21" x14ac:dyDescent="0.25">
      <c r="A24" s="227" t="s">
        <v>86</v>
      </c>
      <c r="B24" s="228"/>
      <c r="C24" s="4" t="s">
        <v>75</v>
      </c>
      <c r="D24" s="239">
        <f>0.05*1.05</f>
        <v>5.2500000000000005E-2</v>
      </c>
      <c r="E24" s="232" t="s">
        <v>5</v>
      </c>
      <c r="F24" s="233">
        <v>1315</v>
      </c>
      <c r="G24" s="234">
        <f t="shared" si="3"/>
        <v>69.037500000000009</v>
      </c>
      <c r="H24" s="5"/>
      <c r="I24" s="251"/>
      <c r="J24" s="256"/>
      <c r="K24" s="254"/>
      <c r="L24" s="92"/>
      <c r="M24" s="92"/>
      <c r="N24" s="92"/>
      <c r="O24" s="92"/>
      <c r="P24" s="92"/>
      <c r="Q24" s="99">
        <f t="shared" si="1"/>
        <v>0</v>
      </c>
      <c r="R24" s="99"/>
      <c r="S24" s="99"/>
      <c r="T24" s="99"/>
      <c r="U24" s="245"/>
    </row>
    <row r="25" spans="1:21" x14ac:dyDescent="0.25">
      <c r="A25" s="227" t="s">
        <v>86</v>
      </c>
      <c r="B25" s="228"/>
      <c r="C25" s="4" t="s">
        <v>73</v>
      </c>
      <c r="D25" s="239">
        <f>(0.21+0.0256)*1.05</f>
        <v>0.24738000000000002</v>
      </c>
      <c r="E25" s="232" t="s">
        <v>5</v>
      </c>
      <c r="F25" s="233">
        <v>1215</v>
      </c>
      <c r="G25" s="234">
        <f t="shared" si="3"/>
        <v>300.56670000000003</v>
      </c>
      <c r="H25" s="5"/>
      <c r="I25" s="251"/>
      <c r="J25" s="256"/>
      <c r="K25" s="254"/>
      <c r="L25" s="92"/>
      <c r="M25" s="92"/>
      <c r="N25" s="92"/>
      <c r="O25" s="92"/>
      <c r="P25" s="92"/>
      <c r="Q25" s="99">
        <f t="shared" si="1"/>
        <v>0</v>
      </c>
      <c r="R25" s="99"/>
      <c r="S25" s="99"/>
      <c r="T25" s="99"/>
      <c r="U25" s="245"/>
    </row>
    <row r="26" spans="1:21" x14ac:dyDescent="0.25">
      <c r="A26" s="227" t="s">
        <v>86</v>
      </c>
      <c r="B26" s="228"/>
      <c r="C26" s="4" t="s">
        <v>88</v>
      </c>
      <c r="D26" s="239">
        <v>172</v>
      </c>
      <c r="E26" s="232" t="s">
        <v>89</v>
      </c>
      <c r="F26" s="233">
        <v>7.44</v>
      </c>
      <c r="G26" s="234">
        <f t="shared" si="3"/>
        <v>1279.68</v>
      </c>
      <c r="H26" s="5"/>
      <c r="I26" s="251"/>
      <c r="J26" s="256"/>
      <c r="K26" s="254"/>
      <c r="L26" s="92"/>
      <c r="M26" s="92"/>
      <c r="N26" s="92"/>
      <c r="O26" s="92"/>
      <c r="P26" s="92"/>
      <c r="Q26" s="99">
        <f t="shared" si="1"/>
        <v>0</v>
      </c>
      <c r="R26" s="99"/>
      <c r="S26" s="99"/>
      <c r="T26" s="99"/>
      <c r="U26" s="245"/>
    </row>
    <row r="27" spans="1:21" ht="15.75" thickBot="1" x14ac:dyDescent="0.3">
      <c r="A27" s="259" t="s">
        <v>111</v>
      </c>
      <c r="B27" s="260"/>
      <c r="C27" s="260"/>
      <c r="D27" s="260"/>
      <c r="E27" s="260"/>
      <c r="F27" s="261"/>
      <c r="G27" s="262">
        <f>SUM(G7:G26)</f>
        <v>23700.783699999996</v>
      </c>
      <c r="H27" s="263"/>
      <c r="I27" s="264"/>
      <c r="J27" s="256"/>
      <c r="K27" s="265"/>
      <c r="L27" s="266"/>
      <c r="M27" s="354"/>
      <c r="N27" s="354"/>
      <c r="O27" s="354"/>
      <c r="P27" s="354"/>
      <c r="Q27" s="262">
        <f>SUM(Q7:Q26)</f>
        <v>0</v>
      </c>
      <c r="R27" s="301"/>
      <c r="S27" s="301"/>
      <c r="T27" s="267"/>
      <c r="U27" s="268"/>
    </row>
    <row r="28" spans="1:21" ht="15.75" thickBot="1" x14ac:dyDescent="0.3">
      <c r="A28" s="280" t="s">
        <v>90</v>
      </c>
      <c r="B28" s="281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1"/>
      <c r="S28" s="281"/>
      <c r="T28" s="281"/>
      <c r="U28" s="282"/>
    </row>
    <row r="29" spans="1:21" x14ac:dyDescent="0.25">
      <c r="A29" s="225" t="s">
        <v>91</v>
      </c>
      <c r="B29" s="226"/>
      <c r="C29" s="269" t="s">
        <v>73</v>
      </c>
      <c r="D29" s="270">
        <v>9.8000000000000004E-2</v>
      </c>
      <c r="E29" s="271" t="s">
        <v>5</v>
      </c>
      <c r="F29" s="272">
        <v>1215</v>
      </c>
      <c r="G29" s="273">
        <f t="shared" ref="G29:G31" si="4">D29*F29</f>
        <v>119.07000000000001</v>
      </c>
      <c r="H29" s="274"/>
      <c r="I29" s="275"/>
      <c r="J29" s="256"/>
      <c r="K29" s="276"/>
      <c r="L29" s="277"/>
      <c r="M29" s="277"/>
      <c r="N29" s="277"/>
      <c r="O29" s="277"/>
      <c r="P29" s="277"/>
      <c r="Q29" s="278">
        <f t="shared" ref="Q29:Q38" si="5">K29*L29</f>
        <v>0</v>
      </c>
      <c r="R29" s="278"/>
      <c r="S29" s="278"/>
      <c r="T29" s="278"/>
      <c r="U29" s="279"/>
    </row>
    <row r="30" spans="1:21" x14ac:dyDescent="0.25">
      <c r="A30" s="227" t="s">
        <v>91</v>
      </c>
      <c r="B30" s="228"/>
      <c r="C30" s="4" t="s">
        <v>76</v>
      </c>
      <c r="D30" s="239">
        <v>1.6199999999999999E-2</v>
      </c>
      <c r="E30" s="232" t="s">
        <v>5</v>
      </c>
      <c r="F30" s="233">
        <v>1215</v>
      </c>
      <c r="G30" s="234">
        <f t="shared" si="4"/>
        <v>19.683</v>
      </c>
      <c r="H30" s="5"/>
      <c r="I30" s="251"/>
      <c r="J30" s="256"/>
      <c r="K30" s="253"/>
      <c r="L30" s="92"/>
      <c r="M30" s="92"/>
      <c r="N30" s="92"/>
      <c r="O30" s="92"/>
      <c r="P30" s="92"/>
      <c r="Q30" s="99">
        <f t="shared" si="5"/>
        <v>0</v>
      </c>
      <c r="R30" s="99"/>
      <c r="S30" s="99"/>
      <c r="T30" s="99"/>
      <c r="U30" s="245"/>
    </row>
    <row r="31" spans="1:21" x14ac:dyDescent="0.25">
      <c r="A31" s="227" t="s">
        <v>91</v>
      </c>
      <c r="B31" s="228"/>
      <c r="C31" s="4" t="s">
        <v>76</v>
      </c>
      <c r="D31" s="239">
        <v>0.89590000000000003</v>
      </c>
      <c r="E31" s="232" t="s">
        <v>5</v>
      </c>
      <c r="F31" s="233">
        <v>1215</v>
      </c>
      <c r="G31" s="234">
        <f t="shared" si="4"/>
        <v>1088.5185000000001</v>
      </c>
      <c r="H31" s="5"/>
      <c r="I31" s="251"/>
      <c r="J31" s="256"/>
      <c r="K31" s="253"/>
      <c r="L31" s="92"/>
      <c r="M31" s="92"/>
      <c r="N31" s="92"/>
      <c r="O31" s="92"/>
      <c r="P31" s="92"/>
      <c r="Q31" s="99">
        <f t="shared" si="5"/>
        <v>0</v>
      </c>
      <c r="R31" s="99"/>
      <c r="S31" s="99"/>
      <c r="T31" s="99"/>
      <c r="U31" s="245"/>
    </row>
    <row r="32" spans="1:21" x14ac:dyDescent="0.25">
      <c r="A32" s="227" t="s">
        <v>91</v>
      </c>
      <c r="B32" s="228"/>
      <c r="C32" s="4" t="s">
        <v>82</v>
      </c>
      <c r="D32" s="239">
        <v>82</v>
      </c>
      <c r="E32" s="232" t="s">
        <v>83</v>
      </c>
      <c r="F32" s="233">
        <v>16.899999999999999</v>
      </c>
      <c r="G32" s="234">
        <f>D32*F32</f>
        <v>1385.8</v>
      </c>
      <c r="H32" s="5"/>
      <c r="I32" s="251"/>
      <c r="J32" s="256"/>
      <c r="K32" s="253"/>
      <c r="L32" s="92"/>
      <c r="M32" s="92"/>
      <c r="N32" s="92"/>
      <c r="O32" s="92"/>
      <c r="P32" s="92"/>
      <c r="Q32" s="99">
        <f t="shared" si="5"/>
        <v>0</v>
      </c>
      <c r="R32" s="99"/>
      <c r="S32" s="99"/>
      <c r="T32" s="99"/>
      <c r="U32" s="245"/>
    </row>
    <row r="33" spans="1:21" x14ac:dyDescent="0.25">
      <c r="A33" s="227" t="s">
        <v>79</v>
      </c>
      <c r="B33" s="228"/>
      <c r="C33" s="4" t="s">
        <v>80</v>
      </c>
      <c r="D33" s="239">
        <v>24</v>
      </c>
      <c r="E33" s="232" t="s">
        <v>92</v>
      </c>
      <c r="F33" s="246">
        <v>93.6</v>
      </c>
      <c r="G33" s="234">
        <f t="shared" ref="G33:G34" si="6">D33*F33</f>
        <v>2246.3999999999996</v>
      </c>
      <c r="H33" s="5"/>
      <c r="I33" s="251"/>
      <c r="J33" s="256"/>
      <c r="K33" s="253"/>
      <c r="L33" s="92"/>
      <c r="M33" s="92"/>
      <c r="N33" s="92"/>
      <c r="O33" s="92"/>
      <c r="P33" s="92"/>
      <c r="Q33" s="99">
        <f t="shared" si="5"/>
        <v>0</v>
      </c>
      <c r="R33" s="99"/>
      <c r="S33" s="99"/>
      <c r="T33" s="99"/>
      <c r="U33" s="245"/>
    </row>
    <row r="34" spans="1:21" x14ac:dyDescent="0.25">
      <c r="A34" s="227" t="s">
        <v>79</v>
      </c>
      <c r="B34" s="228"/>
      <c r="C34" s="4" t="s">
        <v>87</v>
      </c>
      <c r="D34" s="239">
        <v>14</v>
      </c>
      <c r="E34" s="232" t="s">
        <v>92</v>
      </c>
      <c r="F34" s="233">
        <v>59.8</v>
      </c>
      <c r="G34" s="234">
        <f t="shared" si="6"/>
        <v>837.19999999999993</v>
      </c>
      <c r="H34" s="5"/>
      <c r="I34" s="251"/>
      <c r="J34" s="256"/>
      <c r="K34" s="253"/>
      <c r="L34" s="92"/>
      <c r="M34" s="92"/>
      <c r="N34" s="92"/>
      <c r="O34" s="92"/>
      <c r="P34" s="92"/>
      <c r="Q34" s="99">
        <f t="shared" si="5"/>
        <v>0</v>
      </c>
      <c r="R34" s="99"/>
      <c r="S34" s="99"/>
      <c r="T34" s="99"/>
      <c r="U34" s="245"/>
    </row>
    <row r="35" spans="1:21" x14ac:dyDescent="0.25">
      <c r="A35" s="227" t="s">
        <v>79</v>
      </c>
      <c r="B35" s="228"/>
      <c r="C35" s="4"/>
      <c r="D35" s="5"/>
      <c r="E35" s="5"/>
      <c r="F35" s="23"/>
      <c r="G35" s="23"/>
      <c r="H35" s="5"/>
      <c r="I35" s="251"/>
      <c r="J35" s="256"/>
      <c r="K35" s="253"/>
      <c r="L35" s="92"/>
      <c r="M35" s="92"/>
      <c r="N35" s="92"/>
      <c r="O35" s="92"/>
      <c r="P35" s="92"/>
      <c r="Q35" s="99">
        <f t="shared" si="5"/>
        <v>0</v>
      </c>
      <c r="R35" s="99"/>
      <c r="S35" s="99"/>
      <c r="T35" s="99"/>
      <c r="U35" s="245"/>
    </row>
    <row r="36" spans="1:21" x14ac:dyDescent="0.25">
      <c r="A36" s="227" t="s">
        <v>79</v>
      </c>
      <c r="B36" s="228"/>
      <c r="C36" s="4"/>
      <c r="D36" s="5"/>
      <c r="E36" s="5"/>
      <c r="F36" s="23"/>
      <c r="G36" s="23"/>
      <c r="H36" s="5"/>
      <c r="I36" s="251"/>
      <c r="J36" s="256"/>
      <c r="K36" s="253"/>
      <c r="L36" s="92"/>
      <c r="M36" s="92"/>
      <c r="N36" s="92"/>
      <c r="O36" s="92"/>
      <c r="P36" s="92"/>
      <c r="Q36" s="99">
        <f t="shared" si="5"/>
        <v>0</v>
      </c>
      <c r="R36" s="99"/>
      <c r="S36" s="99"/>
      <c r="T36" s="99"/>
      <c r="U36" s="245"/>
    </row>
    <row r="37" spans="1:21" x14ac:dyDescent="0.25">
      <c r="A37" s="227" t="s">
        <v>79</v>
      </c>
      <c r="B37" s="228"/>
      <c r="C37" s="4"/>
      <c r="D37" s="5"/>
      <c r="E37" s="5"/>
      <c r="F37" s="23"/>
      <c r="G37" s="23"/>
      <c r="H37" s="5"/>
      <c r="I37" s="251"/>
      <c r="J37" s="256"/>
      <c r="K37" s="253"/>
      <c r="L37" s="92"/>
      <c r="M37" s="92"/>
      <c r="N37" s="92"/>
      <c r="O37" s="92"/>
      <c r="P37" s="92"/>
      <c r="Q37" s="99">
        <f t="shared" si="5"/>
        <v>0</v>
      </c>
      <c r="R37" s="99"/>
      <c r="S37" s="99"/>
      <c r="T37" s="99"/>
      <c r="U37" s="245"/>
    </row>
    <row r="38" spans="1:21" x14ac:dyDescent="0.25">
      <c r="A38" s="227" t="s">
        <v>79</v>
      </c>
      <c r="B38" s="228"/>
      <c r="C38" s="4"/>
      <c r="D38" s="5"/>
      <c r="E38" s="5"/>
      <c r="F38" s="23"/>
      <c r="G38" s="23"/>
      <c r="H38" s="5"/>
      <c r="I38" s="251"/>
      <c r="J38" s="256"/>
      <c r="K38" s="253"/>
      <c r="L38" s="92"/>
      <c r="M38" s="92"/>
      <c r="N38" s="92"/>
      <c r="O38" s="92"/>
      <c r="P38" s="92"/>
      <c r="Q38" s="99">
        <f t="shared" si="5"/>
        <v>0</v>
      </c>
      <c r="R38" s="99"/>
      <c r="S38" s="99"/>
      <c r="T38" s="99"/>
      <c r="U38" s="245"/>
    </row>
    <row r="39" spans="1:21" ht="15.75" thickBot="1" x14ac:dyDescent="0.3">
      <c r="A39" s="259" t="s">
        <v>111</v>
      </c>
      <c r="B39" s="260"/>
      <c r="C39" s="260"/>
      <c r="D39" s="260"/>
      <c r="E39" s="260"/>
      <c r="F39" s="261"/>
      <c r="G39" s="262">
        <f>SUM(G29:G38)</f>
        <v>5696.6714999999995</v>
      </c>
      <c r="H39" s="263"/>
      <c r="I39" s="264"/>
      <c r="J39" s="256"/>
      <c r="K39" s="265"/>
      <c r="L39" s="266"/>
      <c r="M39" s="354"/>
      <c r="N39" s="354"/>
      <c r="O39" s="354"/>
      <c r="P39" s="354"/>
      <c r="Q39" s="262">
        <f>SUM(Q29:Q38)</f>
        <v>0</v>
      </c>
      <c r="R39" s="301"/>
      <c r="S39" s="301"/>
      <c r="T39" s="267"/>
      <c r="U39" s="268"/>
    </row>
    <row r="40" spans="1:21" ht="15.75" thickBot="1" x14ac:dyDescent="0.3">
      <c r="A40" s="280" t="s">
        <v>93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2"/>
    </row>
    <row r="41" spans="1:21" x14ac:dyDescent="0.25">
      <c r="A41" s="225" t="s">
        <v>72</v>
      </c>
      <c r="B41" s="226"/>
      <c r="C41" s="269" t="s">
        <v>73</v>
      </c>
      <c r="D41" s="289">
        <v>2.33</v>
      </c>
      <c r="E41" s="271" t="s">
        <v>5</v>
      </c>
      <c r="F41" s="272">
        <v>1215</v>
      </c>
      <c r="G41" s="273">
        <f t="shared" ref="G41:G58" si="7">D41*F41</f>
        <v>2830.9500000000003</v>
      </c>
      <c r="H41" s="274"/>
      <c r="I41" s="275"/>
      <c r="J41" s="256"/>
      <c r="K41" s="276">
        <v>1.768</v>
      </c>
      <c r="L41" s="277">
        <v>1215</v>
      </c>
      <c r="M41" s="277"/>
      <c r="N41" s="277"/>
      <c r="O41" s="277"/>
      <c r="P41" s="277"/>
      <c r="Q41" s="99">
        <f>SUM(K41,M41,O41)*F41</f>
        <v>2148.12</v>
      </c>
      <c r="R41" s="302">
        <f>D41-K41</f>
        <v>0.56200000000000006</v>
      </c>
      <c r="S41" s="302">
        <f>G41-Q41</f>
        <v>682.83000000000038</v>
      </c>
      <c r="T41" s="278"/>
      <c r="U41" s="279"/>
    </row>
    <row r="42" spans="1:21" x14ac:dyDescent="0.25">
      <c r="A42" s="227" t="s">
        <v>72</v>
      </c>
      <c r="B42" s="228"/>
      <c r="C42" s="4" t="s">
        <v>87</v>
      </c>
      <c r="D42" s="231">
        <v>8</v>
      </c>
      <c r="E42" s="232" t="s">
        <v>92</v>
      </c>
      <c r="F42" s="233">
        <v>59.8</v>
      </c>
      <c r="G42" s="234">
        <f t="shared" si="7"/>
        <v>478.4</v>
      </c>
      <c r="H42" s="5"/>
      <c r="I42" s="251"/>
      <c r="J42" s="256"/>
      <c r="K42" s="253">
        <v>7</v>
      </c>
      <c r="L42" s="290">
        <v>59.8</v>
      </c>
      <c r="M42" s="291"/>
      <c r="N42" s="291"/>
      <c r="O42" s="291"/>
      <c r="P42" s="291"/>
      <c r="Q42" s="99">
        <f>SUM(K42,M42,O42)*F42</f>
        <v>418.59999999999997</v>
      </c>
      <c r="R42" s="302">
        <f t="shared" ref="R42:R60" si="8">D42-K42</f>
        <v>1</v>
      </c>
      <c r="S42" s="302">
        <f t="shared" ref="S42:S60" si="9">G42-Q42</f>
        <v>59.800000000000011</v>
      </c>
      <c r="T42" s="99"/>
      <c r="U42" s="245"/>
    </row>
    <row r="43" spans="1:21" x14ac:dyDescent="0.25">
      <c r="A43" s="292" t="s">
        <v>72</v>
      </c>
      <c r="B43" s="293"/>
      <c r="C43" s="294" t="s">
        <v>82</v>
      </c>
      <c r="D43" s="295"/>
      <c r="E43" s="296"/>
      <c r="F43" s="297">
        <v>16.899999999999999</v>
      </c>
      <c r="G43" s="298"/>
      <c r="H43" s="5"/>
      <c r="I43" s="251"/>
      <c r="J43" s="256"/>
      <c r="K43" s="253">
        <v>6</v>
      </c>
      <c r="L43" s="291">
        <v>16.899999999999999</v>
      </c>
      <c r="M43" s="291"/>
      <c r="N43" s="291"/>
      <c r="O43" s="291"/>
      <c r="P43" s="291"/>
      <c r="Q43" s="299">
        <f t="shared" ref="Q43:Q60" si="10">SUM(K43,M43,O43)*F43</f>
        <v>101.39999999999999</v>
      </c>
      <c r="R43" s="302">
        <f t="shared" si="8"/>
        <v>-6</v>
      </c>
      <c r="S43" s="302">
        <f t="shared" si="9"/>
        <v>-101.39999999999999</v>
      </c>
      <c r="T43" s="99"/>
      <c r="U43" s="245"/>
    </row>
    <row r="44" spans="1:21" x14ac:dyDescent="0.25">
      <c r="A44" s="227" t="s">
        <v>74</v>
      </c>
      <c r="B44" s="228"/>
      <c r="C44" s="4" t="s">
        <v>75</v>
      </c>
      <c r="D44" s="231">
        <v>2.16</v>
      </c>
      <c r="E44" s="232" t="s">
        <v>5</v>
      </c>
      <c r="F44" s="233">
        <v>1315</v>
      </c>
      <c r="G44" s="234">
        <f t="shared" si="7"/>
        <v>2840.4</v>
      </c>
      <c r="H44" s="5"/>
      <c r="I44" s="251"/>
      <c r="J44" s="256"/>
      <c r="K44" s="253"/>
      <c r="L44" s="92"/>
      <c r="M44" s="92"/>
      <c r="N44" s="92"/>
      <c r="O44" s="92"/>
      <c r="P44" s="92"/>
      <c r="Q44" s="99">
        <f t="shared" si="10"/>
        <v>0</v>
      </c>
      <c r="R44" s="302">
        <f t="shared" si="8"/>
        <v>2.16</v>
      </c>
      <c r="S44" s="302">
        <f t="shared" si="9"/>
        <v>2840.4</v>
      </c>
      <c r="T44" s="99"/>
      <c r="U44" s="245"/>
    </row>
    <row r="45" spans="1:21" x14ac:dyDescent="0.25">
      <c r="A45" s="227" t="s">
        <v>74</v>
      </c>
      <c r="B45" s="228"/>
      <c r="C45" s="4" t="s">
        <v>73</v>
      </c>
      <c r="D45" s="231">
        <f>0.39*1.05</f>
        <v>0.40950000000000003</v>
      </c>
      <c r="E45" s="232" t="s">
        <v>5</v>
      </c>
      <c r="F45" s="233">
        <v>1215</v>
      </c>
      <c r="G45" s="234">
        <f t="shared" si="7"/>
        <v>497.54250000000002</v>
      </c>
      <c r="H45" s="5"/>
      <c r="I45" s="251"/>
      <c r="J45" s="256"/>
      <c r="K45" s="253"/>
      <c r="L45" s="92"/>
      <c r="M45" s="92"/>
      <c r="N45" s="92"/>
      <c r="O45" s="92"/>
      <c r="P45" s="92"/>
      <c r="Q45" s="99">
        <f t="shared" si="10"/>
        <v>0</v>
      </c>
      <c r="R45" s="302">
        <f t="shared" si="8"/>
        <v>0.40950000000000003</v>
      </c>
      <c r="S45" s="302">
        <f t="shared" si="9"/>
        <v>497.54250000000002</v>
      </c>
      <c r="T45" s="99"/>
      <c r="U45" s="245"/>
    </row>
    <row r="46" spans="1:21" x14ac:dyDescent="0.25">
      <c r="A46" s="227" t="s">
        <v>74</v>
      </c>
      <c r="B46" s="228"/>
      <c r="C46" s="4" t="s">
        <v>76</v>
      </c>
      <c r="D46" s="231">
        <v>5.5</v>
      </c>
      <c r="E46" s="232" t="s">
        <v>5</v>
      </c>
      <c r="F46" s="233">
        <v>1215</v>
      </c>
      <c r="G46" s="234">
        <f t="shared" si="7"/>
        <v>6682.5</v>
      </c>
      <c r="H46" s="5"/>
      <c r="I46" s="251"/>
      <c r="J46" s="256"/>
      <c r="K46" s="253"/>
      <c r="L46" s="92"/>
      <c r="M46" s="92"/>
      <c r="N46" s="92"/>
      <c r="O46" s="92"/>
      <c r="P46" s="92"/>
      <c r="Q46" s="99">
        <f t="shared" si="10"/>
        <v>0</v>
      </c>
      <c r="R46" s="302">
        <f t="shared" si="8"/>
        <v>5.5</v>
      </c>
      <c r="S46" s="302">
        <f t="shared" si="9"/>
        <v>6682.5</v>
      </c>
      <c r="T46" s="99"/>
      <c r="U46" s="245"/>
    </row>
    <row r="47" spans="1:21" x14ac:dyDescent="0.25">
      <c r="A47" s="227" t="s">
        <v>74</v>
      </c>
      <c r="B47" s="228"/>
      <c r="C47" s="4" t="s">
        <v>76</v>
      </c>
      <c r="D47" s="231">
        <v>1.6380999999999999</v>
      </c>
      <c r="E47" s="232" t="s">
        <v>5</v>
      </c>
      <c r="F47" s="233">
        <v>1215</v>
      </c>
      <c r="G47" s="234">
        <f t="shared" si="7"/>
        <v>1990.2914999999998</v>
      </c>
      <c r="H47" s="5"/>
      <c r="I47" s="251"/>
      <c r="J47" s="256"/>
      <c r="K47" s="253"/>
      <c r="L47" s="92"/>
      <c r="M47" s="92"/>
      <c r="N47" s="92"/>
      <c r="O47" s="92"/>
      <c r="P47" s="92"/>
      <c r="Q47" s="99">
        <f t="shared" si="10"/>
        <v>0</v>
      </c>
      <c r="R47" s="302">
        <f t="shared" si="8"/>
        <v>1.6380999999999999</v>
      </c>
      <c r="S47" s="302">
        <f t="shared" si="9"/>
        <v>1990.2914999999998</v>
      </c>
      <c r="T47" s="99"/>
      <c r="U47" s="245"/>
    </row>
    <row r="48" spans="1:21" x14ac:dyDescent="0.25">
      <c r="A48" s="227" t="s">
        <v>74</v>
      </c>
      <c r="B48" s="228"/>
      <c r="C48" s="4" t="s">
        <v>82</v>
      </c>
      <c r="D48" s="231">
        <v>340</v>
      </c>
      <c r="E48" s="232" t="s">
        <v>83</v>
      </c>
      <c r="F48" s="233">
        <v>16.899999999999999</v>
      </c>
      <c r="G48" s="234">
        <f t="shared" si="7"/>
        <v>5745.9999999999991</v>
      </c>
      <c r="H48" s="5"/>
      <c r="I48" s="251"/>
      <c r="J48" s="256"/>
      <c r="K48" s="253"/>
      <c r="L48" s="92"/>
      <c r="M48" s="92"/>
      <c r="N48" s="92"/>
      <c r="O48" s="92"/>
      <c r="P48" s="92"/>
      <c r="Q48" s="99">
        <f t="shared" si="10"/>
        <v>0</v>
      </c>
      <c r="R48" s="302">
        <f t="shared" si="8"/>
        <v>340</v>
      </c>
      <c r="S48" s="302">
        <f t="shared" si="9"/>
        <v>5745.9999999999991</v>
      </c>
      <c r="T48" s="99"/>
      <c r="U48" s="245"/>
    </row>
    <row r="49" spans="1:21" x14ac:dyDescent="0.25">
      <c r="A49" s="227" t="s">
        <v>79</v>
      </c>
      <c r="B49" s="228"/>
      <c r="C49" s="4" t="s">
        <v>80</v>
      </c>
      <c r="D49" s="231">
        <v>187</v>
      </c>
      <c r="E49" s="232" t="s">
        <v>83</v>
      </c>
      <c r="F49" s="246">
        <v>93.6</v>
      </c>
      <c r="G49" s="234">
        <f t="shared" si="7"/>
        <v>17503.2</v>
      </c>
      <c r="H49" s="5"/>
      <c r="I49" s="251"/>
      <c r="J49" s="256"/>
      <c r="K49" s="253"/>
      <c r="L49" s="92"/>
      <c r="M49" s="92"/>
      <c r="N49" s="92"/>
      <c r="O49" s="92"/>
      <c r="P49" s="92"/>
      <c r="Q49" s="99">
        <f t="shared" si="10"/>
        <v>0</v>
      </c>
      <c r="R49" s="302">
        <f t="shared" si="8"/>
        <v>187</v>
      </c>
      <c r="S49" s="302">
        <f t="shared" si="9"/>
        <v>17503.2</v>
      </c>
      <c r="T49" s="99"/>
      <c r="U49" s="245"/>
    </row>
    <row r="50" spans="1:21" x14ac:dyDescent="0.25">
      <c r="A50" s="227" t="s">
        <v>79</v>
      </c>
      <c r="B50" s="228"/>
      <c r="C50" s="4" t="s">
        <v>76</v>
      </c>
      <c r="D50" s="231">
        <v>0.23</v>
      </c>
      <c r="E50" s="232" t="s">
        <v>5</v>
      </c>
      <c r="F50" s="233">
        <v>1215</v>
      </c>
      <c r="G50" s="234">
        <f t="shared" si="7"/>
        <v>279.45</v>
      </c>
      <c r="H50" s="5"/>
      <c r="I50" s="251"/>
      <c r="J50" s="256"/>
      <c r="K50" s="253"/>
      <c r="L50" s="92"/>
      <c r="M50" s="92"/>
      <c r="N50" s="92"/>
      <c r="O50" s="92"/>
      <c r="P50" s="92"/>
      <c r="Q50" s="99">
        <f t="shared" si="10"/>
        <v>0</v>
      </c>
      <c r="R50" s="302">
        <f t="shared" si="8"/>
        <v>0.23</v>
      </c>
      <c r="S50" s="302">
        <f t="shared" si="9"/>
        <v>279.45</v>
      </c>
      <c r="T50" s="99"/>
      <c r="U50" s="245"/>
    </row>
    <row r="51" spans="1:21" x14ac:dyDescent="0.25">
      <c r="A51" s="227" t="s">
        <v>86</v>
      </c>
      <c r="B51" s="228"/>
      <c r="C51" s="4" t="s">
        <v>87</v>
      </c>
      <c r="D51" s="231">
        <f>600/12</f>
        <v>50</v>
      </c>
      <c r="E51" s="232" t="s">
        <v>83</v>
      </c>
      <c r="F51" s="233">
        <v>59.8</v>
      </c>
      <c r="G51" s="234">
        <f t="shared" si="7"/>
        <v>2990</v>
      </c>
      <c r="H51" s="5"/>
      <c r="I51" s="251"/>
      <c r="J51" s="256"/>
      <c r="K51" s="253"/>
      <c r="L51" s="92"/>
      <c r="M51" s="92"/>
      <c r="N51" s="92"/>
      <c r="O51" s="92"/>
      <c r="P51" s="92"/>
      <c r="Q51" s="99">
        <f t="shared" si="10"/>
        <v>0</v>
      </c>
      <c r="R51" s="302">
        <f t="shared" si="8"/>
        <v>50</v>
      </c>
      <c r="S51" s="302">
        <f t="shared" si="9"/>
        <v>2990</v>
      </c>
      <c r="T51" s="99"/>
      <c r="U51" s="245"/>
    </row>
    <row r="52" spans="1:21" x14ac:dyDescent="0.25">
      <c r="A52" s="227" t="s">
        <v>86</v>
      </c>
      <c r="B52" s="228"/>
      <c r="C52" s="4" t="s">
        <v>88</v>
      </c>
      <c r="D52" s="231">
        <v>308</v>
      </c>
      <c r="E52" s="232" t="s">
        <v>89</v>
      </c>
      <c r="F52" s="233">
        <v>7.44</v>
      </c>
      <c r="G52" s="234">
        <f t="shared" si="7"/>
        <v>2291.52</v>
      </c>
      <c r="H52" s="5"/>
      <c r="I52" s="251"/>
      <c r="J52" s="256"/>
      <c r="K52" s="253"/>
      <c r="L52" s="92"/>
      <c r="M52" s="92"/>
      <c r="N52" s="92"/>
      <c r="O52" s="92"/>
      <c r="P52" s="92"/>
      <c r="Q52" s="99">
        <f t="shared" si="10"/>
        <v>0</v>
      </c>
      <c r="R52" s="302">
        <f t="shared" si="8"/>
        <v>308</v>
      </c>
      <c r="S52" s="302">
        <f t="shared" si="9"/>
        <v>2291.52</v>
      </c>
      <c r="T52" s="99"/>
      <c r="U52" s="245"/>
    </row>
    <row r="53" spans="1:21" x14ac:dyDescent="0.25">
      <c r="A53" s="227" t="s">
        <v>86</v>
      </c>
      <c r="B53" s="228"/>
      <c r="C53" s="4" t="s">
        <v>75</v>
      </c>
      <c r="D53" s="231">
        <v>0.06</v>
      </c>
      <c r="E53" s="232" t="s">
        <v>5</v>
      </c>
      <c r="F53" s="233">
        <v>1315</v>
      </c>
      <c r="G53" s="234">
        <f t="shared" si="7"/>
        <v>78.899999999999991</v>
      </c>
      <c r="H53" s="5"/>
      <c r="I53" s="251"/>
      <c r="J53" s="256"/>
      <c r="K53" s="253"/>
      <c r="L53" s="92"/>
      <c r="M53" s="92"/>
      <c r="N53" s="92"/>
      <c r="O53" s="92"/>
      <c r="P53" s="92"/>
      <c r="Q53" s="99">
        <f t="shared" si="10"/>
        <v>0</v>
      </c>
      <c r="R53" s="302">
        <f t="shared" si="8"/>
        <v>0.06</v>
      </c>
      <c r="S53" s="302">
        <f t="shared" si="9"/>
        <v>78.899999999999991</v>
      </c>
      <c r="T53" s="99"/>
      <c r="U53" s="245"/>
    </row>
    <row r="54" spans="1:21" x14ac:dyDescent="0.25">
      <c r="A54" s="227" t="s">
        <v>86</v>
      </c>
      <c r="B54" s="228"/>
      <c r="C54" s="4" t="s">
        <v>73</v>
      </c>
      <c r="D54" s="231">
        <v>0.27</v>
      </c>
      <c r="E54" s="232" t="s">
        <v>5</v>
      </c>
      <c r="F54" s="233">
        <v>1215</v>
      </c>
      <c r="G54" s="234">
        <f t="shared" si="7"/>
        <v>328.05</v>
      </c>
      <c r="H54" s="5"/>
      <c r="I54" s="251"/>
      <c r="J54" s="256"/>
      <c r="K54" s="253"/>
      <c r="L54" s="92"/>
      <c r="M54" s="92"/>
      <c r="N54" s="92"/>
      <c r="O54" s="92"/>
      <c r="P54" s="92"/>
      <c r="Q54" s="99">
        <f t="shared" si="10"/>
        <v>0</v>
      </c>
      <c r="R54" s="302">
        <f t="shared" si="8"/>
        <v>0.27</v>
      </c>
      <c r="S54" s="302">
        <f t="shared" si="9"/>
        <v>328.05</v>
      </c>
      <c r="T54" s="99"/>
      <c r="U54" s="245"/>
    </row>
    <row r="55" spans="1:21" x14ac:dyDescent="0.25">
      <c r="A55" s="227" t="s">
        <v>97</v>
      </c>
      <c r="B55" s="228"/>
      <c r="C55" s="300"/>
      <c r="D55" s="300">
        <f>340/100</f>
        <v>3.4</v>
      </c>
      <c r="E55" s="232" t="s">
        <v>105</v>
      </c>
      <c r="F55" s="233">
        <v>14.47</v>
      </c>
      <c r="G55" s="234">
        <f t="shared" si="7"/>
        <v>49.198</v>
      </c>
      <c r="H55" s="5"/>
      <c r="I55" s="251"/>
      <c r="J55" s="256"/>
      <c r="K55" s="253"/>
      <c r="L55" s="92"/>
      <c r="M55" s="92"/>
      <c r="N55" s="92"/>
      <c r="O55" s="92"/>
      <c r="P55" s="92"/>
      <c r="Q55" s="99">
        <f t="shared" si="10"/>
        <v>0</v>
      </c>
      <c r="R55" s="302">
        <f t="shared" si="8"/>
        <v>3.4</v>
      </c>
      <c r="S55" s="302">
        <f t="shared" si="9"/>
        <v>49.198</v>
      </c>
      <c r="T55" s="99"/>
      <c r="U55" s="245"/>
    </row>
    <row r="56" spans="1:21" x14ac:dyDescent="0.25">
      <c r="A56" s="227" t="s">
        <v>98</v>
      </c>
      <c r="B56" s="228"/>
      <c r="C56" s="300"/>
      <c r="D56" s="300">
        <f>((84.66+2237.697+600)/0.56)/100</f>
        <v>52.184946428571422</v>
      </c>
      <c r="E56" s="232" t="s">
        <v>105</v>
      </c>
      <c r="F56" s="233">
        <v>14.47</v>
      </c>
      <c r="G56" s="234">
        <f t="shared" si="7"/>
        <v>755.11617482142856</v>
      </c>
      <c r="H56" s="5"/>
      <c r="I56" s="251"/>
      <c r="J56" s="256"/>
      <c r="K56" s="253">
        <v>12</v>
      </c>
      <c r="L56" s="233">
        <v>14.47</v>
      </c>
      <c r="M56" s="92"/>
      <c r="N56" s="92"/>
      <c r="O56" s="92"/>
      <c r="P56" s="92"/>
      <c r="Q56" s="99">
        <f t="shared" si="10"/>
        <v>173.64000000000001</v>
      </c>
      <c r="R56" s="302">
        <f t="shared" si="8"/>
        <v>40.184946428571422</v>
      </c>
      <c r="S56" s="302">
        <f t="shared" si="9"/>
        <v>581.47617482142857</v>
      </c>
      <c r="T56" s="99"/>
      <c r="U56" s="245"/>
    </row>
    <row r="57" spans="1:21" x14ac:dyDescent="0.25">
      <c r="A57" s="227" t="s">
        <v>99</v>
      </c>
      <c r="B57" s="228"/>
      <c r="C57" s="4"/>
      <c r="D57" s="231">
        <f>2237.697/180</f>
        <v>12.431650000000001</v>
      </c>
      <c r="E57" s="232" t="s">
        <v>122</v>
      </c>
      <c r="F57" s="233">
        <v>74.569999999999993</v>
      </c>
      <c r="G57" s="234">
        <f t="shared" si="7"/>
        <v>927.02814049999995</v>
      </c>
      <c r="H57" s="5"/>
      <c r="I57" s="251"/>
      <c r="J57" s="256"/>
      <c r="K57" s="253">
        <v>5</v>
      </c>
      <c r="L57" s="233">
        <v>74.569999999999993</v>
      </c>
      <c r="M57" s="92"/>
      <c r="N57" s="92"/>
      <c r="O57" s="92"/>
      <c r="P57" s="92"/>
      <c r="Q57" s="99">
        <f t="shared" si="10"/>
        <v>372.84999999999997</v>
      </c>
      <c r="R57" s="302">
        <f t="shared" si="8"/>
        <v>7.4316500000000012</v>
      </c>
      <c r="S57" s="302">
        <f t="shared" si="9"/>
        <v>554.17814049999993</v>
      </c>
      <c r="T57" s="99"/>
      <c r="U57" s="245"/>
    </row>
    <row r="58" spans="1:21" x14ac:dyDescent="0.25">
      <c r="A58" s="227" t="s">
        <v>100</v>
      </c>
      <c r="B58" s="228"/>
      <c r="C58" s="4"/>
      <c r="D58" s="231">
        <f>(12.6*3)/2</f>
        <v>18.899999999999999</v>
      </c>
      <c r="E58" s="232" t="s">
        <v>9</v>
      </c>
      <c r="F58" s="233">
        <v>2.87</v>
      </c>
      <c r="G58" s="234">
        <f t="shared" si="7"/>
        <v>54.242999999999995</v>
      </c>
      <c r="H58" s="5"/>
      <c r="I58" s="251"/>
      <c r="J58" s="256"/>
      <c r="K58" s="253">
        <v>10</v>
      </c>
      <c r="L58" s="233">
        <v>2.87</v>
      </c>
      <c r="M58" s="92"/>
      <c r="N58" s="92"/>
      <c r="O58" s="92"/>
      <c r="P58" s="92"/>
      <c r="Q58" s="99">
        <f t="shared" si="10"/>
        <v>28.700000000000003</v>
      </c>
      <c r="R58" s="302">
        <f t="shared" si="8"/>
        <v>8.8999999999999986</v>
      </c>
      <c r="S58" s="302">
        <f t="shared" si="9"/>
        <v>25.542999999999992</v>
      </c>
      <c r="T58" s="99"/>
      <c r="U58" s="245"/>
    </row>
    <row r="59" spans="1:21" x14ac:dyDescent="0.25">
      <c r="A59" s="227" t="s">
        <v>103</v>
      </c>
      <c r="B59" s="228"/>
      <c r="C59" s="4"/>
      <c r="D59" s="231"/>
      <c r="E59" s="232"/>
      <c r="F59" s="233"/>
      <c r="G59" s="234"/>
      <c r="H59" s="5"/>
      <c r="I59" s="251"/>
      <c r="J59" s="256"/>
      <c r="K59" s="253"/>
      <c r="L59" s="92"/>
      <c r="M59" s="92"/>
      <c r="N59" s="92"/>
      <c r="O59" s="92"/>
      <c r="P59" s="92"/>
      <c r="Q59" s="99">
        <f t="shared" si="10"/>
        <v>0</v>
      </c>
      <c r="R59" s="302">
        <f t="shared" si="8"/>
        <v>0</v>
      </c>
      <c r="S59" s="302">
        <f t="shared" si="9"/>
        <v>0</v>
      </c>
      <c r="T59" s="99"/>
      <c r="U59" s="245"/>
    </row>
    <row r="60" spans="1:21" x14ac:dyDescent="0.25">
      <c r="A60" s="227" t="s">
        <v>126</v>
      </c>
      <c r="B60" s="228"/>
      <c r="C60" s="4"/>
      <c r="D60" s="231"/>
      <c r="E60" s="232"/>
      <c r="F60" s="233"/>
      <c r="G60" s="234"/>
      <c r="H60" s="5"/>
      <c r="I60" s="251"/>
      <c r="J60" s="256"/>
      <c r="K60" s="253">
        <v>10</v>
      </c>
      <c r="L60" s="92"/>
      <c r="M60" s="92"/>
      <c r="N60" s="92"/>
      <c r="O60" s="92"/>
      <c r="P60" s="92"/>
      <c r="Q60" s="99">
        <f t="shared" si="10"/>
        <v>0</v>
      </c>
      <c r="R60" s="302">
        <f t="shared" si="8"/>
        <v>-10</v>
      </c>
      <c r="S60" s="302">
        <f t="shared" si="9"/>
        <v>0</v>
      </c>
      <c r="T60" s="99"/>
      <c r="U60" s="245"/>
    </row>
    <row r="61" spans="1:21" ht="15.75" thickBot="1" x14ac:dyDescent="0.3">
      <c r="A61" s="259" t="s">
        <v>111</v>
      </c>
      <c r="B61" s="260"/>
      <c r="C61" s="260"/>
      <c r="D61" s="260"/>
      <c r="E61" s="260"/>
      <c r="F61" s="261"/>
      <c r="G61" s="262">
        <f>SUM(G41:G60)</f>
        <v>46322.789315321425</v>
      </c>
      <c r="H61" s="263"/>
      <c r="I61" s="264"/>
      <c r="J61" s="256"/>
      <c r="K61" s="265"/>
      <c r="L61" s="266"/>
      <c r="M61" s="354"/>
      <c r="N61" s="354"/>
      <c r="O61" s="354"/>
      <c r="P61" s="354"/>
      <c r="Q61" s="262">
        <f>SUM(Q41:Q60)</f>
        <v>3243.3099999999995</v>
      </c>
      <c r="R61" s="301"/>
      <c r="S61" s="301"/>
      <c r="T61" s="267"/>
      <c r="U61" s="268"/>
    </row>
    <row r="62" spans="1:21" ht="15.75" thickBot="1" x14ac:dyDescent="0.3">
      <c r="A62" s="280" t="s">
        <v>94</v>
      </c>
      <c r="B62" s="281"/>
      <c r="C62" s="281"/>
      <c r="D62" s="281"/>
      <c r="E62" s="281"/>
      <c r="F62" s="281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2"/>
    </row>
    <row r="63" spans="1:21" x14ac:dyDescent="0.25">
      <c r="A63" s="225" t="s">
        <v>74</v>
      </c>
      <c r="B63" s="226"/>
      <c r="C63" s="269" t="s">
        <v>76</v>
      </c>
      <c r="D63" s="289">
        <v>0.1109</v>
      </c>
      <c r="E63" s="271" t="s">
        <v>5</v>
      </c>
      <c r="F63" s="272">
        <v>1215</v>
      </c>
      <c r="G63" s="273">
        <f t="shared" ref="G63:G68" si="11">D63*F63</f>
        <v>134.74350000000001</v>
      </c>
      <c r="H63" s="274"/>
      <c r="I63" s="275"/>
      <c r="J63" s="256"/>
      <c r="K63" s="276"/>
      <c r="L63" s="277"/>
      <c r="M63" s="277"/>
      <c r="N63" s="277"/>
      <c r="O63" s="277"/>
      <c r="P63" s="277"/>
      <c r="Q63" s="278">
        <f t="shared" ref="Q63:Q71" si="12">K63*L63</f>
        <v>0</v>
      </c>
      <c r="R63" s="278"/>
      <c r="S63" s="278"/>
      <c r="T63" s="278"/>
      <c r="U63" s="279"/>
    </row>
    <row r="64" spans="1:21" x14ac:dyDescent="0.25">
      <c r="A64" s="227" t="s">
        <v>74</v>
      </c>
      <c r="B64" s="228"/>
      <c r="C64" s="4" t="s">
        <v>76</v>
      </c>
      <c r="D64" s="231">
        <v>3.4099999999999998E-2</v>
      </c>
      <c r="E64" s="232" t="s">
        <v>5</v>
      </c>
      <c r="F64" s="233">
        <v>1215</v>
      </c>
      <c r="G64" s="234">
        <f t="shared" si="11"/>
        <v>41.4315</v>
      </c>
      <c r="H64" s="5"/>
      <c r="I64" s="251"/>
      <c r="J64" s="256"/>
      <c r="K64" s="253"/>
      <c r="L64" s="92"/>
      <c r="M64" s="92"/>
      <c r="N64" s="92"/>
      <c r="O64" s="92"/>
      <c r="P64" s="92"/>
      <c r="Q64" s="99">
        <f t="shared" si="12"/>
        <v>0</v>
      </c>
      <c r="R64" s="99"/>
      <c r="S64" s="99"/>
      <c r="T64" s="99"/>
      <c r="U64" s="245"/>
    </row>
    <row r="65" spans="1:21" x14ac:dyDescent="0.25">
      <c r="A65" s="227" t="s">
        <v>74</v>
      </c>
      <c r="B65" s="228"/>
      <c r="C65" s="4" t="s">
        <v>82</v>
      </c>
      <c r="D65" s="231">
        <v>16</v>
      </c>
      <c r="E65" s="232" t="s">
        <v>92</v>
      </c>
      <c r="F65" s="233">
        <v>16.899999999999999</v>
      </c>
      <c r="G65" s="234">
        <f t="shared" si="11"/>
        <v>270.39999999999998</v>
      </c>
      <c r="H65" s="5"/>
      <c r="I65" s="251"/>
      <c r="J65" s="256"/>
      <c r="K65" s="253"/>
      <c r="L65" s="92"/>
      <c r="M65" s="92"/>
      <c r="N65" s="92"/>
      <c r="O65" s="92"/>
      <c r="P65" s="92"/>
      <c r="Q65" s="99">
        <f t="shared" si="12"/>
        <v>0</v>
      </c>
      <c r="R65" s="99"/>
      <c r="S65" s="99"/>
      <c r="T65" s="99"/>
      <c r="U65" s="245"/>
    </row>
    <row r="66" spans="1:21" x14ac:dyDescent="0.25">
      <c r="A66" s="227" t="s">
        <v>79</v>
      </c>
      <c r="B66" s="228"/>
      <c r="C66" s="4" t="s">
        <v>80</v>
      </c>
      <c r="D66" s="231">
        <v>6</v>
      </c>
      <c r="E66" s="232" t="s">
        <v>92</v>
      </c>
      <c r="F66" s="246">
        <v>93.6</v>
      </c>
      <c r="G66" s="234">
        <f t="shared" si="11"/>
        <v>561.59999999999991</v>
      </c>
      <c r="H66" s="5"/>
      <c r="I66" s="251"/>
      <c r="J66" s="256"/>
      <c r="K66" s="253"/>
      <c r="L66" s="92"/>
      <c r="M66" s="92"/>
      <c r="N66" s="92"/>
      <c r="O66" s="92"/>
      <c r="P66" s="92"/>
      <c r="Q66" s="99">
        <f t="shared" si="12"/>
        <v>0</v>
      </c>
      <c r="R66" s="99"/>
      <c r="S66" s="99"/>
      <c r="T66" s="99"/>
      <c r="U66" s="245"/>
    </row>
    <row r="67" spans="1:21" x14ac:dyDescent="0.25">
      <c r="A67" s="227" t="s">
        <v>79</v>
      </c>
      <c r="B67" s="228"/>
      <c r="C67" s="4" t="s">
        <v>87</v>
      </c>
      <c r="D67" s="231">
        <v>11</v>
      </c>
      <c r="E67" s="232" t="s">
        <v>92</v>
      </c>
      <c r="F67" s="233">
        <v>59.8</v>
      </c>
      <c r="G67" s="234">
        <f t="shared" si="11"/>
        <v>657.8</v>
      </c>
      <c r="H67" s="5"/>
      <c r="I67" s="251"/>
      <c r="J67" s="256"/>
      <c r="K67" s="253"/>
      <c r="L67" s="92"/>
      <c r="M67" s="92"/>
      <c r="N67" s="92"/>
      <c r="O67" s="92"/>
      <c r="P67" s="92"/>
      <c r="Q67" s="99">
        <f t="shared" si="12"/>
        <v>0</v>
      </c>
      <c r="R67" s="99"/>
      <c r="S67" s="99"/>
      <c r="T67" s="99"/>
      <c r="U67" s="245"/>
    </row>
    <row r="68" spans="1:21" x14ac:dyDescent="0.25">
      <c r="A68" s="227" t="s">
        <v>79</v>
      </c>
      <c r="B68" s="228"/>
      <c r="C68" s="4" t="s">
        <v>76</v>
      </c>
      <c r="D68" s="231">
        <v>0.01</v>
      </c>
      <c r="E68" s="232" t="s">
        <v>5</v>
      </c>
      <c r="F68" s="233">
        <v>1215</v>
      </c>
      <c r="G68" s="234">
        <f t="shared" si="11"/>
        <v>12.15</v>
      </c>
      <c r="H68" s="5"/>
      <c r="I68" s="251"/>
      <c r="J68" s="256"/>
      <c r="K68" s="253"/>
      <c r="L68" s="92"/>
      <c r="M68" s="92"/>
      <c r="N68" s="92"/>
      <c r="O68" s="92"/>
      <c r="P68" s="92"/>
      <c r="Q68" s="99">
        <f t="shared" si="12"/>
        <v>0</v>
      </c>
      <c r="R68" s="99"/>
      <c r="S68" s="99"/>
      <c r="T68" s="99"/>
      <c r="U68" s="245"/>
    </row>
    <row r="69" spans="1:21" x14ac:dyDescent="0.25">
      <c r="A69" s="227" t="s">
        <v>79</v>
      </c>
      <c r="B69" s="228"/>
      <c r="C69" s="4"/>
      <c r="D69" s="5"/>
      <c r="E69" s="5"/>
      <c r="F69" s="23"/>
      <c r="G69" s="23"/>
      <c r="H69" s="5"/>
      <c r="I69" s="251"/>
      <c r="J69" s="256"/>
      <c r="K69" s="253"/>
      <c r="L69" s="92"/>
      <c r="M69" s="92"/>
      <c r="N69" s="92"/>
      <c r="O69" s="92"/>
      <c r="P69" s="92"/>
      <c r="Q69" s="99">
        <f t="shared" si="12"/>
        <v>0</v>
      </c>
      <c r="R69" s="99"/>
      <c r="S69" s="99"/>
      <c r="T69" s="99"/>
      <c r="U69" s="245"/>
    </row>
    <row r="70" spans="1:21" x14ac:dyDescent="0.25">
      <c r="A70" s="227" t="s">
        <v>79</v>
      </c>
      <c r="B70" s="228"/>
      <c r="C70" s="4"/>
      <c r="D70" s="5"/>
      <c r="E70" s="5"/>
      <c r="F70" s="23"/>
      <c r="G70" s="23"/>
      <c r="H70" s="5"/>
      <c r="I70" s="251"/>
      <c r="J70" s="256"/>
      <c r="K70" s="253"/>
      <c r="L70" s="92"/>
      <c r="M70" s="92"/>
      <c r="N70" s="92"/>
      <c r="O70" s="92"/>
      <c r="P70" s="92"/>
      <c r="Q70" s="99">
        <f t="shared" si="12"/>
        <v>0</v>
      </c>
      <c r="R70" s="99"/>
      <c r="S70" s="99"/>
      <c r="T70" s="99"/>
      <c r="U70" s="245"/>
    </row>
    <row r="71" spans="1:21" x14ac:dyDescent="0.25">
      <c r="A71" s="227" t="s">
        <v>79</v>
      </c>
      <c r="B71" s="228"/>
      <c r="C71" s="4"/>
      <c r="D71" s="5"/>
      <c r="E71" s="5"/>
      <c r="F71" s="23"/>
      <c r="G71" s="23"/>
      <c r="H71" s="5"/>
      <c r="I71" s="251"/>
      <c r="J71" s="256"/>
      <c r="K71" s="253"/>
      <c r="L71" s="92"/>
      <c r="M71" s="92"/>
      <c r="N71" s="92"/>
      <c r="O71" s="92"/>
      <c r="P71" s="92"/>
      <c r="Q71" s="99">
        <f t="shared" si="12"/>
        <v>0</v>
      </c>
      <c r="R71" s="99"/>
      <c r="S71" s="99"/>
      <c r="T71" s="99"/>
      <c r="U71" s="245"/>
    </row>
    <row r="72" spans="1:21" ht="15.75" thickBot="1" x14ac:dyDescent="0.3">
      <c r="A72" s="259" t="s">
        <v>111</v>
      </c>
      <c r="B72" s="260"/>
      <c r="C72" s="260"/>
      <c r="D72" s="260"/>
      <c r="E72" s="260"/>
      <c r="F72" s="261"/>
      <c r="G72" s="262">
        <f>SUM(G63:G71)</f>
        <v>1678.125</v>
      </c>
      <c r="H72" s="263"/>
      <c r="I72" s="264"/>
      <c r="J72" s="256"/>
      <c r="K72" s="265"/>
      <c r="L72" s="266"/>
      <c r="M72" s="354"/>
      <c r="N72" s="354"/>
      <c r="O72" s="354"/>
      <c r="P72" s="354"/>
      <c r="Q72" s="262">
        <f>SUM(Q63:Q71)</f>
        <v>0</v>
      </c>
      <c r="R72" s="301"/>
      <c r="S72" s="301"/>
      <c r="T72" s="267"/>
      <c r="U72" s="268"/>
    </row>
    <row r="73" spans="1:21" ht="15.75" thickBot="1" x14ac:dyDescent="0.3">
      <c r="A73" s="280" t="s">
        <v>95</v>
      </c>
      <c r="B73" s="281"/>
      <c r="C73" s="281"/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281"/>
      <c r="U73" s="282"/>
    </row>
    <row r="74" spans="1:21" x14ac:dyDescent="0.25">
      <c r="A74" s="225" t="s">
        <v>74</v>
      </c>
      <c r="B74" s="226"/>
      <c r="C74" s="269" t="s">
        <v>76</v>
      </c>
      <c r="D74" s="289">
        <v>6.52</v>
      </c>
      <c r="E74" s="271" t="s">
        <v>5</v>
      </c>
      <c r="F74" s="272">
        <v>1215</v>
      </c>
      <c r="G74" s="273">
        <f t="shared" ref="G74:G78" si="13">D74*F74</f>
        <v>7921.7999999999993</v>
      </c>
      <c r="H74" s="274"/>
      <c r="I74" s="275"/>
      <c r="J74" s="256"/>
      <c r="K74" s="276"/>
      <c r="L74" s="277"/>
      <c r="M74" s="277"/>
      <c r="N74" s="277"/>
      <c r="O74" s="277"/>
      <c r="P74" s="277"/>
      <c r="Q74" s="278">
        <f t="shared" ref="Q74:Q81" si="14">K74*L74</f>
        <v>0</v>
      </c>
      <c r="R74" s="278"/>
      <c r="S74" s="278"/>
      <c r="T74" s="278"/>
      <c r="U74" s="279"/>
    </row>
    <row r="75" spans="1:21" x14ac:dyDescent="0.25">
      <c r="A75" s="227" t="s">
        <v>74</v>
      </c>
      <c r="B75" s="228"/>
      <c r="C75" s="4" t="s">
        <v>76</v>
      </c>
      <c r="D75" s="231">
        <v>0.14000000000000001</v>
      </c>
      <c r="E75" s="232" t="s">
        <v>5</v>
      </c>
      <c r="F75" s="233">
        <v>1215</v>
      </c>
      <c r="G75" s="234">
        <f t="shared" si="13"/>
        <v>170.10000000000002</v>
      </c>
      <c r="H75" s="5"/>
      <c r="I75" s="251"/>
      <c r="J75" s="256"/>
      <c r="K75" s="253"/>
      <c r="L75" s="92"/>
      <c r="M75" s="92"/>
      <c r="N75" s="92"/>
      <c r="O75" s="92"/>
      <c r="P75" s="92"/>
      <c r="Q75" s="99">
        <f t="shared" si="14"/>
        <v>0</v>
      </c>
      <c r="R75" s="99"/>
      <c r="S75" s="99"/>
      <c r="T75" s="99"/>
      <c r="U75" s="245"/>
    </row>
    <row r="76" spans="1:21" x14ac:dyDescent="0.25">
      <c r="A76" s="227" t="s">
        <v>74</v>
      </c>
      <c r="B76" s="228"/>
      <c r="C76" s="4" t="s">
        <v>82</v>
      </c>
      <c r="D76" s="231">
        <v>98</v>
      </c>
      <c r="E76" s="232" t="s">
        <v>83</v>
      </c>
      <c r="F76" s="233">
        <v>16.899999999999999</v>
      </c>
      <c r="G76" s="234">
        <f t="shared" si="13"/>
        <v>1656.1999999999998</v>
      </c>
      <c r="H76" s="5"/>
      <c r="I76" s="251"/>
      <c r="J76" s="256"/>
      <c r="K76" s="253"/>
      <c r="L76" s="92"/>
      <c r="M76" s="92"/>
      <c r="N76" s="92"/>
      <c r="O76" s="92"/>
      <c r="P76" s="92"/>
      <c r="Q76" s="99">
        <f t="shared" si="14"/>
        <v>0</v>
      </c>
      <c r="R76" s="99"/>
      <c r="S76" s="99"/>
      <c r="T76" s="99"/>
      <c r="U76" s="245"/>
    </row>
    <row r="77" spans="1:21" x14ac:dyDescent="0.25">
      <c r="A77" s="227" t="s">
        <v>79</v>
      </c>
      <c r="B77" s="228"/>
      <c r="C77" s="4" t="s">
        <v>80</v>
      </c>
      <c r="D77" s="231">
        <v>180</v>
      </c>
      <c r="E77" s="232" t="s">
        <v>83</v>
      </c>
      <c r="F77" s="246">
        <v>93.6</v>
      </c>
      <c r="G77" s="234">
        <f t="shared" si="13"/>
        <v>16848</v>
      </c>
      <c r="H77" s="5"/>
      <c r="I77" s="251"/>
      <c r="J77" s="256"/>
      <c r="K77" s="253"/>
      <c r="L77" s="92"/>
      <c r="M77" s="92"/>
      <c r="N77" s="92"/>
      <c r="O77" s="92"/>
      <c r="P77" s="92"/>
      <c r="Q77" s="99">
        <f t="shared" si="14"/>
        <v>0</v>
      </c>
      <c r="R77" s="99"/>
      <c r="S77" s="99"/>
      <c r="T77" s="99"/>
      <c r="U77" s="245"/>
    </row>
    <row r="78" spans="1:21" x14ac:dyDescent="0.25">
      <c r="A78" s="227" t="s">
        <v>79</v>
      </c>
      <c r="B78" s="228"/>
      <c r="C78" s="4" t="s">
        <v>76</v>
      </c>
      <c r="D78" s="231">
        <v>0.25</v>
      </c>
      <c r="E78" s="232" t="s">
        <v>5</v>
      </c>
      <c r="F78" s="233">
        <v>1215</v>
      </c>
      <c r="G78" s="234">
        <f t="shared" si="13"/>
        <v>303.75</v>
      </c>
      <c r="H78" s="5"/>
      <c r="I78" s="251"/>
      <c r="J78" s="256"/>
      <c r="K78" s="253"/>
      <c r="L78" s="92"/>
      <c r="M78" s="92"/>
      <c r="N78" s="92"/>
      <c r="O78" s="92"/>
      <c r="P78" s="92"/>
      <c r="Q78" s="99">
        <f t="shared" si="14"/>
        <v>0</v>
      </c>
      <c r="R78" s="99"/>
      <c r="S78" s="99"/>
      <c r="T78" s="99"/>
      <c r="U78" s="245"/>
    </row>
    <row r="79" spans="1:21" x14ac:dyDescent="0.25">
      <c r="A79" s="227" t="s">
        <v>79</v>
      </c>
      <c r="B79" s="228"/>
      <c r="C79" s="4"/>
      <c r="D79" s="5"/>
      <c r="E79" s="5"/>
      <c r="F79" s="23"/>
      <c r="G79" s="23"/>
      <c r="H79" s="5"/>
      <c r="I79" s="251"/>
      <c r="J79" s="256"/>
      <c r="K79" s="253"/>
      <c r="L79" s="92"/>
      <c r="M79" s="92"/>
      <c r="N79" s="92"/>
      <c r="O79" s="92"/>
      <c r="P79" s="92"/>
      <c r="Q79" s="99">
        <f t="shared" si="14"/>
        <v>0</v>
      </c>
      <c r="R79" s="99"/>
      <c r="S79" s="99"/>
      <c r="T79" s="99"/>
      <c r="U79" s="245"/>
    </row>
    <row r="80" spans="1:21" x14ac:dyDescent="0.25">
      <c r="A80" s="227" t="s">
        <v>79</v>
      </c>
      <c r="B80" s="228"/>
      <c r="C80" s="4"/>
      <c r="D80" s="5"/>
      <c r="E80" s="5"/>
      <c r="F80" s="23"/>
      <c r="G80" s="23"/>
      <c r="H80" s="5"/>
      <c r="I80" s="251"/>
      <c r="J80" s="256"/>
      <c r="K80" s="253"/>
      <c r="L80" s="92"/>
      <c r="M80" s="92"/>
      <c r="N80" s="92"/>
      <c r="O80" s="92"/>
      <c r="P80" s="92"/>
      <c r="Q80" s="99">
        <f t="shared" si="14"/>
        <v>0</v>
      </c>
      <c r="R80" s="99"/>
      <c r="S80" s="99"/>
      <c r="T80" s="99"/>
      <c r="U80" s="245"/>
    </row>
    <row r="81" spans="1:21" x14ac:dyDescent="0.25">
      <c r="A81" s="227" t="s">
        <v>79</v>
      </c>
      <c r="B81" s="228"/>
      <c r="C81" s="4"/>
      <c r="D81" s="5"/>
      <c r="E81" s="5"/>
      <c r="F81" s="23"/>
      <c r="G81" s="23"/>
      <c r="H81" s="5"/>
      <c r="I81" s="251"/>
      <c r="J81" s="256"/>
      <c r="K81" s="253"/>
      <c r="L81" s="92"/>
      <c r="M81" s="92"/>
      <c r="N81" s="92"/>
      <c r="O81" s="92"/>
      <c r="P81" s="92"/>
      <c r="Q81" s="99">
        <f t="shared" si="14"/>
        <v>0</v>
      </c>
      <c r="R81" s="99"/>
      <c r="S81" s="99"/>
      <c r="T81" s="99"/>
      <c r="U81" s="245"/>
    </row>
    <row r="82" spans="1:21" ht="15.75" thickBot="1" x14ac:dyDescent="0.3">
      <c r="A82" s="259" t="s">
        <v>111</v>
      </c>
      <c r="B82" s="260"/>
      <c r="C82" s="260"/>
      <c r="D82" s="260"/>
      <c r="E82" s="260"/>
      <c r="F82" s="261"/>
      <c r="G82" s="262">
        <f>SUM(G74:G81)</f>
        <v>26899.85</v>
      </c>
      <c r="H82" s="263"/>
      <c r="I82" s="264"/>
      <c r="J82" s="256"/>
      <c r="K82" s="265"/>
      <c r="L82" s="266"/>
      <c r="M82" s="354"/>
      <c r="N82" s="354"/>
      <c r="O82" s="354"/>
      <c r="P82" s="354"/>
      <c r="Q82" s="262">
        <f>SUM(Q74:Q81)</f>
        <v>0</v>
      </c>
      <c r="R82" s="301"/>
      <c r="S82" s="301"/>
      <c r="T82" s="267"/>
      <c r="U82" s="268"/>
    </row>
    <row r="83" spans="1:21" ht="15.75" thickBot="1" x14ac:dyDescent="0.3">
      <c r="A83" s="280" t="s">
        <v>96</v>
      </c>
      <c r="B83" s="281"/>
      <c r="C83" s="281"/>
      <c r="D83" s="281"/>
      <c r="E83" s="28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281"/>
      <c r="U83" s="282"/>
    </row>
    <row r="84" spans="1:21" x14ac:dyDescent="0.25">
      <c r="A84" s="225" t="s">
        <v>97</v>
      </c>
      <c r="B84" s="226"/>
      <c r="C84" s="269"/>
      <c r="D84" s="289">
        <v>46</v>
      </c>
      <c r="E84" s="271" t="s">
        <v>105</v>
      </c>
      <c r="F84" s="272">
        <v>14.47</v>
      </c>
      <c r="G84" s="273">
        <f t="shared" ref="G84:G90" si="15">D84*F84</f>
        <v>665.62</v>
      </c>
      <c r="H84" s="274"/>
      <c r="I84" s="275"/>
      <c r="J84" s="256"/>
      <c r="K84" s="276"/>
      <c r="L84" s="277"/>
      <c r="M84" s="277"/>
      <c r="N84" s="277"/>
      <c r="O84" s="277"/>
      <c r="P84" s="277"/>
      <c r="Q84" s="278">
        <f t="shared" ref="Q84:Q91" si="16">K84*L84</f>
        <v>0</v>
      </c>
      <c r="R84" s="278"/>
      <c r="S84" s="278"/>
      <c r="T84" s="278"/>
      <c r="U84" s="279"/>
    </row>
    <row r="85" spans="1:21" x14ac:dyDescent="0.25">
      <c r="A85" s="227" t="s">
        <v>98</v>
      </c>
      <c r="B85" s="228"/>
      <c r="C85" s="4"/>
      <c r="D85" s="231">
        <v>95</v>
      </c>
      <c r="E85" s="232" t="s">
        <v>105</v>
      </c>
      <c r="F85" s="233">
        <v>14.47</v>
      </c>
      <c r="G85" s="234">
        <f t="shared" si="15"/>
        <v>1374.65</v>
      </c>
      <c r="H85" s="5"/>
      <c r="I85" s="251"/>
      <c r="J85" s="256"/>
      <c r="K85" s="253"/>
      <c r="L85" s="92"/>
      <c r="M85" s="92"/>
      <c r="N85" s="92"/>
      <c r="O85" s="92"/>
      <c r="P85" s="92"/>
      <c r="Q85" s="99">
        <f t="shared" si="16"/>
        <v>0</v>
      </c>
      <c r="R85" s="99"/>
      <c r="S85" s="99"/>
      <c r="T85" s="99"/>
      <c r="U85" s="245"/>
    </row>
    <row r="86" spans="1:21" x14ac:dyDescent="0.25">
      <c r="A86" s="227" t="s">
        <v>99</v>
      </c>
      <c r="B86" s="228"/>
      <c r="C86" s="4"/>
      <c r="D86" s="231">
        <v>34</v>
      </c>
      <c r="E86" s="232" t="s">
        <v>9</v>
      </c>
      <c r="F86" s="233">
        <v>74.569999999999993</v>
      </c>
      <c r="G86" s="234">
        <f t="shared" si="15"/>
        <v>2535.3799999999997</v>
      </c>
      <c r="H86" s="5"/>
      <c r="I86" s="251"/>
      <c r="J86" s="256"/>
      <c r="K86" s="253"/>
      <c r="L86" s="92"/>
      <c r="M86" s="92"/>
      <c r="N86" s="92"/>
      <c r="O86" s="92"/>
      <c r="P86" s="92"/>
      <c r="Q86" s="99">
        <f t="shared" si="16"/>
        <v>0</v>
      </c>
      <c r="R86" s="99"/>
      <c r="S86" s="99"/>
      <c r="T86" s="99"/>
      <c r="U86" s="245"/>
    </row>
    <row r="87" spans="1:21" x14ac:dyDescent="0.25">
      <c r="A87" s="227" t="s">
        <v>100</v>
      </c>
      <c r="B87" s="228"/>
      <c r="C87" s="4"/>
      <c r="D87" s="231">
        <f>(30*3)/2</f>
        <v>45</v>
      </c>
      <c r="E87" s="232" t="s">
        <v>9</v>
      </c>
      <c r="F87" s="233">
        <v>2.87</v>
      </c>
      <c r="G87" s="234">
        <f t="shared" si="15"/>
        <v>129.15</v>
      </c>
      <c r="H87" s="5"/>
      <c r="I87" s="251"/>
      <c r="J87" s="256"/>
      <c r="K87" s="253"/>
      <c r="L87" s="92"/>
      <c r="M87" s="92"/>
      <c r="N87" s="92"/>
      <c r="O87" s="92"/>
      <c r="P87" s="92"/>
      <c r="Q87" s="99">
        <f t="shared" si="16"/>
        <v>0</v>
      </c>
      <c r="R87" s="99"/>
      <c r="S87" s="99"/>
      <c r="T87" s="99"/>
      <c r="U87" s="245"/>
    </row>
    <row r="88" spans="1:21" x14ac:dyDescent="0.25">
      <c r="A88" s="227" t="s">
        <v>101</v>
      </c>
      <c r="B88" s="228"/>
      <c r="C88" s="4"/>
      <c r="D88" s="231">
        <v>13</v>
      </c>
      <c r="E88" s="232" t="s">
        <v>89</v>
      </c>
      <c r="F88" s="233">
        <v>1100</v>
      </c>
      <c r="G88" s="234">
        <f>D88*F88</f>
        <v>14300</v>
      </c>
      <c r="H88" s="5"/>
      <c r="I88" s="251"/>
      <c r="J88" s="256"/>
      <c r="K88" s="253"/>
      <c r="L88" s="92"/>
      <c r="M88" s="92"/>
      <c r="N88" s="92"/>
      <c r="O88" s="92"/>
      <c r="P88" s="92"/>
      <c r="Q88" s="99">
        <f t="shared" si="16"/>
        <v>0</v>
      </c>
      <c r="R88" s="99"/>
      <c r="S88" s="99"/>
      <c r="T88" s="99"/>
      <c r="U88" s="245"/>
    </row>
    <row r="89" spans="1:21" x14ac:dyDescent="0.25">
      <c r="A89" s="227" t="s">
        <v>102</v>
      </c>
      <c r="B89" s="228"/>
      <c r="C89" s="4"/>
      <c r="D89" s="231">
        <v>294</v>
      </c>
      <c r="E89" s="232" t="s">
        <v>106</v>
      </c>
      <c r="F89" s="233">
        <v>12.5</v>
      </c>
      <c r="G89" s="234">
        <f t="shared" si="15"/>
        <v>3675</v>
      </c>
      <c r="H89" s="5"/>
      <c r="I89" s="251"/>
      <c r="J89" s="256"/>
      <c r="K89" s="253"/>
      <c r="L89" s="92"/>
      <c r="M89" s="92"/>
      <c r="N89" s="92"/>
      <c r="O89" s="92"/>
      <c r="P89" s="92"/>
      <c r="Q89" s="99">
        <f t="shared" si="16"/>
        <v>0</v>
      </c>
      <c r="R89" s="99"/>
      <c r="S89" s="99"/>
      <c r="T89" s="99"/>
      <c r="U89" s="245"/>
    </row>
    <row r="90" spans="1:21" x14ac:dyDescent="0.25">
      <c r="A90" s="227" t="s">
        <v>103</v>
      </c>
      <c r="B90" s="228"/>
      <c r="C90" s="4"/>
      <c r="D90" s="231">
        <v>6</v>
      </c>
      <c r="E90" s="232" t="s">
        <v>89</v>
      </c>
      <c r="F90" s="233">
        <v>750</v>
      </c>
      <c r="G90" s="234">
        <f t="shared" si="15"/>
        <v>4500</v>
      </c>
      <c r="H90" s="5"/>
      <c r="I90" s="251"/>
      <c r="J90" s="256"/>
      <c r="K90" s="253"/>
      <c r="L90" s="92"/>
      <c r="M90" s="92"/>
      <c r="N90" s="92"/>
      <c r="O90" s="92"/>
      <c r="P90" s="92"/>
      <c r="Q90" s="99">
        <f t="shared" si="16"/>
        <v>0</v>
      </c>
      <c r="R90" s="99"/>
      <c r="S90" s="99"/>
      <c r="T90" s="99"/>
      <c r="U90" s="245"/>
    </row>
    <row r="91" spans="1:21" x14ac:dyDescent="0.25">
      <c r="A91" s="227" t="s">
        <v>104</v>
      </c>
      <c r="B91" s="228"/>
      <c r="C91" s="4"/>
      <c r="D91" s="240">
        <v>11</v>
      </c>
      <c r="E91" s="232" t="s">
        <v>107</v>
      </c>
      <c r="F91" s="241">
        <v>65</v>
      </c>
      <c r="G91" s="242">
        <f>D91*F91</f>
        <v>715</v>
      </c>
      <c r="H91" s="5"/>
      <c r="I91" s="251"/>
      <c r="J91" s="256"/>
      <c r="K91" s="253"/>
      <c r="L91" s="92"/>
      <c r="M91" s="92"/>
      <c r="N91" s="92"/>
      <c r="O91" s="92"/>
      <c r="P91" s="92"/>
      <c r="Q91" s="99">
        <f t="shared" si="16"/>
        <v>0</v>
      </c>
      <c r="R91" s="99"/>
      <c r="S91" s="99"/>
      <c r="T91" s="99"/>
      <c r="U91" s="245"/>
    </row>
    <row r="92" spans="1:21" x14ac:dyDescent="0.25">
      <c r="A92" s="259" t="s">
        <v>111</v>
      </c>
      <c r="B92" s="260"/>
      <c r="C92" s="260"/>
      <c r="D92" s="260"/>
      <c r="E92" s="260"/>
      <c r="F92" s="261"/>
      <c r="G92" s="262">
        <f>SUM(G84:G91)</f>
        <v>27894.799999999999</v>
      </c>
      <c r="H92" s="5"/>
      <c r="I92" s="251"/>
      <c r="J92" s="256"/>
      <c r="K92" s="254"/>
      <c r="L92" s="92"/>
      <c r="M92" s="354"/>
      <c r="N92" s="354"/>
      <c r="O92" s="354"/>
      <c r="P92" s="354"/>
      <c r="Q92" s="262">
        <f>SUM(Q84:Q91)</f>
        <v>0</v>
      </c>
      <c r="R92" s="132"/>
      <c r="S92" s="132"/>
      <c r="T92" s="99"/>
      <c r="U92" s="247"/>
    </row>
    <row r="93" spans="1:21" ht="18" thickBot="1" x14ac:dyDescent="0.45">
      <c r="A93" s="248"/>
      <c r="B93" s="249"/>
      <c r="C93" s="15"/>
      <c r="D93" s="16">
        <f>SUM(D7:D92)</f>
        <v>2454.2104764285718</v>
      </c>
      <c r="E93" s="14"/>
      <c r="F93" s="14"/>
      <c r="G93" s="17">
        <f>SUM(G27+G39+G61+G72+G82+G92)</f>
        <v>132193.01951532142</v>
      </c>
      <c r="H93" s="18">
        <f>SUM(H7:H92)</f>
        <v>0</v>
      </c>
      <c r="I93" s="252">
        <f>SUM(I7:I92)</f>
        <v>0</v>
      </c>
      <c r="J93" s="257"/>
      <c r="K93" s="255"/>
      <c r="L93" s="93">
        <f>SUM(L7:L92)</f>
        <v>1383.61</v>
      </c>
      <c r="M93" s="93"/>
      <c r="N93" s="93"/>
      <c r="O93" s="93"/>
      <c r="P93" s="93"/>
      <c r="Q93" s="93">
        <f>SUM(Q7:Q92)</f>
        <v>6486.619999999999</v>
      </c>
      <c r="R93" s="133"/>
      <c r="S93" s="133"/>
      <c r="T93" s="93"/>
      <c r="U93" s="250"/>
    </row>
    <row r="94" spans="1:21" x14ac:dyDescent="0.25">
      <c r="U94" s="103" t="s">
        <v>50</v>
      </c>
    </row>
    <row r="95" spans="1:21" x14ac:dyDescent="0.25">
      <c r="A95" s="216" t="s">
        <v>51</v>
      </c>
      <c r="B95" s="216"/>
      <c r="C95" s="216"/>
      <c r="D95" s="216"/>
      <c r="E95" s="216"/>
      <c r="F95" s="216"/>
      <c r="G95" s="216"/>
      <c r="H95" s="216"/>
      <c r="I95" s="216"/>
      <c r="J95" s="216"/>
      <c r="K95" s="216"/>
      <c r="L95" s="31">
        <f>SUM('STEEL DOCKET ENTRY'!AC52)</f>
        <v>0</v>
      </c>
      <c r="M95" s="31"/>
      <c r="N95" s="31"/>
      <c r="O95" s="31"/>
      <c r="P95" s="31"/>
      <c r="U95" s="104">
        <f>L95-L93</f>
        <v>-1383.61</v>
      </c>
    </row>
    <row r="96" spans="1:21" x14ac:dyDescent="0.25">
      <c r="A96" s="216" t="s">
        <v>43</v>
      </c>
      <c r="B96" s="216"/>
      <c r="C96" s="216"/>
      <c r="D96" s="216"/>
      <c r="E96" s="216"/>
      <c r="F96" s="216"/>
      <c r="G96" s="216"/>
      <c r="H96" s="216"/>
      <c r="I96" s="216"/>
      <c r="J96" s="216"/>
      <c r="K96" s="216"/>
      <c r="L96" s="31"/>
      <c r="M96" s="31"/>
      <c r="N96" s="31"/>
      <c r="O96" s="31"/>
      <c r="P96" s="31"/>
    </row>
    <row r="97" spans="1:20" x14ac:dyDescent="0.25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199" t="s">
        <v>60</v>
      </c>
      <c r="L97" s="31"/>
      <c r="M97" s="31"/>
      <c r="N97" s="31"/>
      <c r="O97" s="31"/>
      <c r="P97" s="31"/>
      <c r="Q97" t="s">
        <v>61</v>
      </c>
    </row>
    <row r="98" spans="1:20" x14ac:dyDescent="0.25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199" t="s">
        <v>62</v>
      </c>
      <c r="L98" s="172"/>
      <c r="M98" s="172"/>
      <c r="N98" s="172"/>
      <c r="O98" s="172"/>
      <c r="P98" s="172"/>
    </row>
    <row r="99" spans="1:20" x14ac:dyDescent="0.25">
      <c r="A99" s="216" t="s">
        <v>59</v>
      </c>
      <c r="B99" s="216"/>
      <c r="C99" s="216"/>
      <c r="D99" s="216"/>
      <c r="E99" s="216"/>
      <c r="F99" s="216"/>
      <c r="G99" s="216"/>
      <c r="H99" s="216"/>
      <c r="I99" s="216"/>
      <c r="J99" s="216"/>
      <c r="K99" s="216"/>
      <c r="L99" s="102"/>
      <c r="M99" s="102"/>
      <c r="N99" s="102"/>
      <c r="O99" s="102"/>
      <c r="P99" s="102"/>
      <c r="Q99" t="s">
        <v>65</v>
      </c>
    </row>
    <row r="100" spans="1:20" x14ac:dyDescent="0.25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 t="s">
        <v>64</v>
      </c>
      <c r="L100" s="102"/>
      <c r="M100" s="102"/>
      <c r="N100" s="102"/>
      <c r="O100" s="102"/>
      <c r="P100" s="102"/>
    </row>
    <row r="101" spans="1:20" ht="17.25" x14ac:dyDescent="0.4">
      <c r="A101" s="204" t="s">
        <v>63</v>
      </c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127"/>
      <c r="M101" s="127"/>
      <c r="N101" s="127"/>
      <c r="O101" s="127"/>
      <c r="P101" s="127"/>
    </row>
    <row r="103" spans="1:20" x14ac:dyDescent="0.25">
      <c r="L103" s="102"/>
      <c r="M103" s="102"/>
      <c r="N103" s="102"/>
      <c r="O103" s="102"/>
      <c r="P103" s="102"/>
    </row>
    <row r="104" spans="1:20" x14ac:dyDescent="0.25">
      <c r="L104" s="102"/>
      <c r="M104" s="102"/>
      <c r="N104" s="102"/>
      <c r="O104" s="102"/>
      <c r="P104" s="102"/>
    </row>
    <row r="106" spans="1:20" x14ac:dyDescent="0.25">
      <c r="L106" s="102"/>
      <c r="M106" s="102"/>
      <c r="N106" s="102"/>
      <c r="O106" s="102"/>
      <c r="P106" s="102"/>
    </row>
    <row r="109" spans="1:20" ht="21" x14ac:dyDescent="0.35">
      <c r="L109" s="209"/>
      <c r="M109" s="209"/>
      <c r="N109" s="209"/>
      <c r="O109" s="209"/>
      <c r="P109" s="209"/>
      <c r="Q109" s="209"/>
      <c r="R109" s="209"/>
      <c r="S109" s="209"/>
      <c r="T109" s="209"/>
    </row>
    <row r="110" spans="1:20" ht="15.75" x14ac:dyDescent="0.25">
      <c r="B110" s="203"/>
      <c r="C110" s="203"/>
      <c r="D110" s="203"/>
      <c r="E110" s="164"/>
      <c r="F110" s="163"/>
      <c r="G110" s="163"/>
      <c r="K110" s="202"/>
      <c r="L110" s="202"/>
      <c r="M110" s="201"/>
      <c r="N110" s="201"/>
      <c r="O110" s="201"/>
      <c r="P110" s="201"/>
      <c r="Q110" s="174"/>
      <c r="R110" s="174"/>
      <c r="S110" s="174"/>
      <c r="T110" s="173"/>
    </row>
    <row r="111" spans="1:20" ht="15.75" x14ac:dyDescent="0.25">
      <c r="K111" s="202"/>
      <c r="L111" s="202"/>
      <c r="M111" s="201"/>
      <c r="N111" s="201"/>
      <c r="O111" s="201"/>
      <c r="P111" s="201"/>
      <c r="Q111" s="174"/>
      <c r="R111" s="174"/>
      <c r="S111" s="174"/>
      <c r="T111" s="173"/>
    </row>
    <row r="112" spans="1:20" ht="15.75" x14ac:dyDescent="0.25">
      <c r="K112" s="202"/>
      <c r="L112" s="202"/>
      <c r="M112" s="201"/>
      <c r="N112" s="201"/>
      <c r="O112" s="201"/>
      <c r="P112" s="201"/>
      <c r="Q112" s="175"/>
      <c r="R112" s="175"/>
      <c r="S112" s="175"/>
      <c r="T112" s="174"/>
    </row>
    <row r="113" spans="11:20" ht="15.75" x14ac:dyDescent="0.25">
      <c r="K113" s="202"/>
      <c r="L113" s="202"/>
      <c r="M113" s="201"/>
      <c r="N113" s="201"/>
      <c r="O113" s="201"/>
      <c r="P113" s="201"/>
      <c r="Q113" s="174"/>
      <c r="R113" s="174"/>
      <c r="S113" s="174"/>
      <c r="T113" s="174"/>
    </row>
    <row r="114" spans="11:20" ht="15.75" x14ac:dyDescent="0.25">
      <c r="L114" s="173"/>
      <c r="M114" s="173"/>
      <c r="N114" s="173"/>
      <c r="O114" s="173"/>
      <c r="P114" s="173"/>
      <c r="Q114" s="174"/>
      <c r="R114" s="174"/>
      <c r="S114" s="174"/>
      <c r="T114" s="173"/>
    </row>
    <row r="115" spans="11:20" ht="18" x14ac:dyDescent="0.4">
      <c r="K115" s="202"/>
      <c r="L115" s="202"/>
      <c r="M115" s="201"/>
      <c r="N115" s="201"/>
      <c r="O115" s="201"/>
      <c r="P115" s="201"/>
      <c r="Q115" s="176"/>
      <c r="R115" s="176"/>
      <c r="S115" s="176"/>
      <c r="T115" s="173"/>
    </row>
    <row r="116" spans="11:20" ht="15.75" x14ac:dyDescent="0.25">
      <c r="K116" s="202"/>
      <c r="L116" s="202"/>
      <c r="M116" s="201"/>
      <c r="N116" s="201"/>
      <c r="O116" s="201"/>
      <c r="P116" s="201"/>
      <c r="Q116" s="175"/>
      <c r="R116" s="175"/>
      <c r="S116" s="175"/>
      <c r="T116" s="173"/>
    </row>
  </sheetData>
  <mergeCells count="119">
    <mergeCell ref="U4:U5"/>
    <mergeCell ref="M4:N4"/>
    <mergeCell ref="O4:P4"/>
    <mergeCell ref="G4:G5"/>
    <mergeCell ref="K4:L4"/>
    <mergeCell ref="Q4:Q5"/>
    <mergeCell ref="R4:R5"/>
    <mergeCell ref="S4:S5"/>
    <mergeCell ref="T4:T5"/>
    <mergeCell ref="A57:B57"/>
    <mergeCell ref="A58:B58"/>
    <mergeCell ref="A92:F92"/>
    <mergeCell ref="A4:B5"/>
    <mergeCell ref="C4:C5"/>
    <mergeCell ref="D4:D5"/>
    <mergeCell ref="E4:E5"/>
    <mergeCell ref="F4:F5"/>
    <mergeCell ref="K111:L111"/>
    <mergeCell ref="K112:L112"/>
    <mergeCell ref="K113:L113"/>
    <mergeCell ref="K115:L115"/>
    <mergeCell ref="K116:L116"/>
    <mergeCell ref="A27:F27"/>
    <mergeCell ref="A39:F39"/>
    <mergeCell ref="A61:F61"/>
    <mergeCell ref="A72:F72"/>
    <mergeCell ref="A95:K95"/>
    <mergeCell ref="A96:K96"/>
    <mergeCell ref="A99:K99"/>
    <mergeCell ref="A101:K101"/>
    <mergeCell ref="L109:T109"/>
    <mergeCell ref="B110:D110"/>
    <mergeCell ref="K110:L110"/>
    <mergeCell ref="A93:B93"/>
    <mergeCell ref="A86:B86"/>
    <mergeCell ref="A87:B87"/>
    <mergeCell ref="A88:B88"/>
    <mergeCell ref="A89:B89"/>
    <mergeCell ref="A90:B90"/>
    <mergeCell ref="A91:B91"/>
    <mergeCell ref="A79:B79"/>
    <mergeCell ref="A80:B80"/>
    <mergeCell ref="A81:B81"/>
    <mergeCell ref="A83:U83"/>
    <mergeCell ref="A84:B84"/>
    <mergeCell ref="A85:B85"/>
    <mergeCell ref="A82:F82"/>
    <mergeCell ref="A73:U73"/>
    <mergeCell ref="A74:B74"/>
    <mergeCell ref="A75:B75"/>
    <mergeCell ref="A76:B76"/>
    <mergeCell ref="A77:B77"/>
    <mergeCell ref="A78:B78"/>
    <mergeCell ref="A66:B66"/>
    <mergeCell ref="A67:B67"/>
    <mergeCell ref="A68:B68"/>
    <mergeCell ref="A69:B69"/>
    <mergeCell ref="A70:B70"/>
    <mergeCell ref="A71:B71"/>
    <mergeCell ref="A59:B59"/>
    <mergeCell ref="A60:B60"/>
    <mergeCell ref="A62:U62"/>
    <mergeCell ref="A63:B63"/>
    <mergeCell ref="A64:B64"/>
    <mergeCell ref="A65:B65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7:B37"/>
    <mergeCell ref="A38:B38"/>
    <mergeCell ref="A40:U40"/>
    <mergeCell ref="A41:B41"/>
    <mergeCell ref="A42:B42"/>
    <mergeCell ref="A44:B44"/>
    <mergeCell ref="A43:B43"/>
    <mergeCell ref="A31:B31"/>
    <mergeCell ref="A32:B32"/>
    <mergeCell ref="A33:B33"/>
    <mergeCell ref="A34:B34"/>
    <mergeCell ref="A35:B35"/>
    <mergeCell ref="A36:B36"/>
    <mergeCell ref="A24:B24"/>
    <mergeCell ref="A25:B25"/>
    <mergeCell ref="A26:B26"/>
    <mergeCell ref="A28:U28"/>
    <mergeCell ref="A29:B29"/>
    <mergeCell ref="A30:B30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6:U6"/>
    <mergeCell ref="A7:B7"/>
    <mergeCell ref="A8:B8"/>
    <mergeCell ref="A9:B9"/>
    <mergeCell ref="A10:B10"/>
    <mergeCell ref="A11:B11"/>
    <mergeCell ref="D1:L2"/>
    <mergeCell ref="Q1:U2"/>
    <mergeCell ref="A3:C3"/>
    <mergeCell ref="D3:I3"/>
    <mergeCell ref="K3:U3"/>
  </mergeCells>
  <conditionalFormatting sqref="Q7:S26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T7:T27">
    <cfRule type="cellIs" dxfId="29" priority="29" operator="greaterThan">
      <formula>0</formula>
    </cfRule>
    <cfRule type="cellIs" dxfId="28" priority="30" operator="lessThan">
      <formula>0</formula>
    </cfRule>
  </conditionalFormatting>
  <conditionalFormatting sqref="Q29:S38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T29:T38">
    <cfRule type="cellIs" dxfId="25" priority="25" operator="greaterThan">
      <formula>0</formula>
    </cfRule>
    <cfRule type="cellIs" dxfId="24" priority="26" operator="lessThan">
      <formula>0</formula>
    </cfRule>
  </conditionalFormatting>
  <conditionalFormatting sqref="T41:T60">
    <cfRule type="cellIs" dxfId="23" priority="21" operator="greaterThan">
      <formula>0</formula>
    </cfRule>
    <cfRule type="cellIs" dxfId="22" priority="22" operator="lessThan">
      <formula>0</formula>
    </cfRule>
  </conditionalFormatting>
  <conditionalFormatting sqref="Q63:S71">
    <cfRule type="cellIs" dxfId="21" priority="19" operator="lessThan">
      <formula>0</formula>
    </cfRule>
    <cfRule type="cellIs" dxfId="20" priority="20" operator="greaterThan">
      <formula>0</formula>
    </cfRule>
  </conditionalFormatting>
  <conditionalFormatting sqref="T63:T71">
    <cfRule type="cellIs" dxfId="19" priority="17" operator="greaterThan">
      <formula>0</formula>
    </cfRule>
    <cfRule type="cellIs" dxfId="18" priority="18" operator="lessThan">
      <formula>0</formula>
    </cfRule>
  </conditionalFormatting>
  <conditionalFormatting sqref="Q74:S81">
    <cfRule type="cellIs" dxfId="17" priority="15" operator="lessThan">
      <formula>0</formula>
    </cfRule>
    <cfRule type="cellIs" dxfId="16" priority="16" operator="greaterThan">
      <formula>0</formula>
    </cfRule>
  </conditionalFormatting>
  <conditionalFormatting sqref="T74:T81">
    <cfRule type="cellIs" dxfId="15" priority="13" operator="greaterThan">
      <formula>0</formula>
    </cfRule>
    <cfRule type="cellIs" dxfId="14" priority="14" operator="lessThan">
      <formula>0</formula>
    </cfRule>
  </conditionalFormatting>
  <conditionalFormatting sqref="Q84:S91">
    <cfRule type="cellIs" dxfId="13" priority="11" operator="lessThan">
      <formula>0</formula>
    </cfRule>
    <cfRule type="cellIs" dxfId="12" priority="12" operator="greaterThan">
      <formula>0</formula>
    </cfRule>
  </conditionalFormatting>
  <conditionalFormatting sqref="T84:T91">
    <cfRule type="cellIs" dxfId="11" priority="9" operator="greaterThan">
      <formula>0</formula>
    </cfRule>
    <cfRule type="cellIs" dxfId="10" priority="10" operator="lessThan">
      <formula>0</formula>
    </cfRule>
  </conditionalFormatting>
  <conditionalFormatting sqref="T39">
    <cfRule type="cellIs" dxfId="9" priority="7" operator="greaterThan">
      <formula>0</formula>
    </cfRule>
    <cfRule type="cellIs" dxfId="8" priority="8" operator="lessThan">
      <formula>0</formula>
    </cfRule>
  </conditionalFormatting>
  <conditionalFormatting sqref="T61">
    <cfRule type="cellIs" dxfId="7" priority="5" operator="greaterThan">
      <formula>0</formula>
    </cfRule>
    <cfRule type="cellIs" dxfId="6" priority="6" operator="lessThan">
      <formula>0</formula>
    </cfRule>
  </conditionalFormatting>
  <conditionalFormatting sqref="T72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T82">
    <cfRule type="cellIs" dxfId="3" priority="1" operator="greaterThan">
      <formula>0</formula>
    </cfRule>
    <cfRule type="cellIs" dxfId="2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77" fitToHeight="2" orientation="landscape" r:id="rId1"/>
  <headerFooter>
    <oddFooter>Page &amp;P&amp;R&amp;Z&amp;F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T60"/>
  <sheetViews>
    <sheetView workbookViewId="0">
      <pane xSplit="7" ySplit="5" topLeftCell="M6" activePane="bottomRight" state="frozen"/>
      <selection pane="topRight" activeCell="H1" sqref="H1"/>
      <selection pane="bottomLeft" activeCell="A6" sqref="A6"/>
      <selection pane="bottomRight" activeCell="AC7" sqref="AC7"/>
    </sheetView>
  </sheetViews>
  <sheetFormatPr defaultRowHeight="15" x14ac:dyDescent="0.25"/>
  <cols>
    <col min="1" max="1" width="2.42578125" customWidth="1"/>
    <col min="2" max="2" width="10.7109375" customWidth="1"/>
    <col min="4" max="4" width="10.85546875" customWidth="1"/>
    <col min="5" max="5" width="24.5703125" customWidth="1"/>
    <col min="6" max="6" width="14.140625" customWidth="1"/>
    <col min="7" max="8" width="10.140625" customWidth="1"/>
    <col min="11" max="11" width="12.7109375" customWidth="1"/>
    <col min="15" max="15" width="10.85546875" customWidth="1"/>
    <col min="16" max="16" width="11.42578125" customWidth="1"/>
    <col min="19" max="20" width="10.28515625" customWidth="1"/>
    <col min="21" max="22" width="10.42578125" customWidth="1"/>
    <col min="23" max="25" width="10.42578125" style="145" customWidth="1"/>
    <col min="26" max="28" width="9.28515625" bestFit="1" customWidth="1"/>
    <col min="29" max="29" width="12.85546875" customWidth="1"/>
    <col min="30" max="30" width="14" bestFit="1" customWidth="1"/>
    <col min="32" max="32" width="9.85546875" bestFit="1" customWidth="1"/>
    <col min="33" max="33" width="12.140625" customWidth="1"/>
    <col min="34" max="34" width="4.85546875" customWidth="1"/>
    <col min="35" max="35" width="11.140625" customWidth="1"/>
    <col min="37" max="37" width="15" customWidth="1"/>
    <col min="38" max="38" width="10.5703125" customWidth="1"/>
    <col min="39" max="39" width="11.85546875" customWidth="1"/>
    <col min="40" max="41" width="12.28515625" customWidth="1"/>
    <col min="42" max="42" width="9.5703125" bestFit="1" customWidth="1"/>
    <col min="43" max="43" width="27.7109375" style="67" customWidth="1"/>
    <col min="44" max="44" width="13.28515625" style="1" customWidth="1"/>
    <col min="46" max="46" width="12.28515625" customWidth="1"/>
  </cols>
  <sheetData>
    <row r="1" spans="2:43" ht="15.75" thickBot="1" x14ac:dyDescent="0.3"/>
    <row r="2" spans="2:43" ht="59.25" customHeight="1" x14ac:dyDescent="0.55000000000000004">
      <c r="B2" s="34"/>
      <c r="C2" s="35"/>
      <c r="D2" s="35"/>
      <c r="E2" s="35"/>
      <c r="F2" s="35"/>
      <c r="G2" s="214" t="s">
        <v>40</v>
      </c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146"/>
      <c r="X2" s="146"/>
      <c r="Y2" s="146"/>
      <c r="Z2" s="218" t="s">
        <v>39</v>
      </c>
      <c r="AA2" s="218"/>
      <c r="AB2" s="218"/>
      <c r="AC2" s="218"/>
      <c r="AD2" s="218"/>
      <c r="AE2" s="218"/>
      <c r="AF2" s="218"/>
      <c r="AG2" s="218"/>
      <c r="AH2" s="22"/>
      <c r="AI2" s="214" t="s">
        <v>26</v>
      </c>
      <c r="AJ2" s="214"/>
      <c r="AK2" s="214"/>
      <c r="AL2" s="214"/>
      <c r="AM2" s="214"/>
      <c r="AN2" s="214"/>
      <c r="AO2" s="214"/>
      <c r="AP2" s="217"/>
    </row>
    <row r="3" spans="2:43" ht="19.5" customHeight="1" x14ac:dyDescent="0.55000000000000004">
      <c r="B3" s="36"/>
      <c r="C3" s="37"/>
      <c r="D3" s="37"/>
      <c r="E3" s="37"/>
      <c r="F3" s="37"/>
      <c r="G3" s="134">
        <v>1215</v>
      </c>
      <c r="H3" s="134">
        <v>1315</v>
      </c>
      <c r="I3" s="135"/>
      <c r="J3" s="135"/>
      <c r="K3" s="135">
        <v>16.899999999999999</v>
      </c>
      <c r="L3" s="38">
        <v>93.6</v>
      </c>
      <c r="M3" s="38">
        <v>59.8</v>
      </c>
      <c r="N3" s="38">
        <v>46.8</v>
      </c>
      <c r="O3" s="38"/>
      <c r="P3" s="70"/>
      <c r="Q3" s="38"/>
      <c r="R3" s="38"/>
      <c r="S3" s="70"/>
      <c r="T3" s="70"/>
      <c r="U3" s="70"/>
      <c r="V3" s="70">
        <v>74.569999999999993</v>
      </c>
      <c r="W3" s="38"/>
      <c r="X3" s="38"/>
      <c r="Y3" s="38"/>
      <c r="Z3" s="70" t="s">
        <v>41</v>
      </c>
      <c r="AA3" s="38"/>
      <c r="AB3" s="38">
        <v>115</v>
      </c>
      <c r="AC3" s="38"/>
      <c r="AD3" s="38"/>
      <c r="AE3" s="38"/>
      <c r="AF3" s="38"/>
      <c r="AG3" s="38"/>
      <c r="AH3" s="32"/>
      <c r="AI3" s="38">
        <v>640</v>
      </c>
      <c r="AJ3" s="38">
        <v>3</v>
      </c>
      <c r="AK3" s="38">
        <v>1000</v>
      </c>
      <c r="AL3" s="38">
        <v>15</v>
      </c>
      <c r="AM3" s="38"/>
      <c r="AN3" s="38"/>
      <c r="AO3" s="38"/>
      <c r="AP3" s="39"/>
    </row>
    <row r="4" spans="2:43" ht="24" customHeight="1" x14ac:dyDescent="0.55000000000000004">
      <c r="B4" s="109" t="s">
        <v>44</v>
      </c>
      <c r="C4" s="110" t="s">
        <v>45</v>
      </c>
      <c r="D4" s="110" t="s">
        <v>45</v>
      </c>
      <c r="E4" s="110" t="s">
        <v>45</v>
      </c>
      <c r="F4" s="110" t="s">
        <v>45</v>
      </c>
      <c r="G4" s="110" t="s">
        <v>45</v>
      </c>
      <c r="H4" s="110" t="s">
        <v>45</v>
      </c>
      <c r="I4" s="110" t="s">
        <v>45</v>
      </c>
      <c r="J4" s="110" t="s">
        <v>45</v>
      </c>
      <c r="K4" s="110" t="s">
        <v>45</v>
      </c>
      <c r="L4" s="110" t="s">
        <v>45</v>
      </c>
      <c r="M4" s="110" t="s">
        <v>45</v>
      </c>
      <c r="N4" s="110" t="s">
        <v>45</v>
      </c>
      <c r="O4" s="110" t="s">
        <v>45</v>
      </c>
      <c r="P4" s="110" t="s">
        <v>45</v>
      </c>
      <c r="Q4" s="110" t="s">
        <v>45</v>
      </c>
      <c r="R4" s="110" t="s">
        <v>45</v>
      </c>
      <c r="S4" s="110" t="s">
        <v>45</v>
      </c>
      <c r="T4" s="110" t="s">
        <v>45</v>
      </c>
      <c r="U4" s="110" t="s">
        <v>45</v>
      </c>
      <c r="V4" s="110" t="s">
        <v>45</v>
      </c>
      <c r="W4" s="147" t="s">
        <v>45</v>
      </c>
      <c r="X4" s="147" t="s">
        <v>45</v>
      </c>
      <c r="Y4" s="147"/>
      <c r="Z4" s="110" t="s">
        <v>45</v>
      </c>
      <c r="AA4" s="110" t="s">
        <v>45</v>
      </c>
      <c r="AB4" s="110" t="s">
        <v>45</v>
      </c>
      <c r="AC4" s="105"/>
      <c r="AD4" s="110" t="s">
        <v>45</v>
      </c>
      <c r="AE4" s="110" t="s">
        <v>45</v>
      </c>
      <c r="AF4" s="105"/>
      <c r="AG4" s="105"/>
      <c r="AH4" s="32"/>
      <c r="AI4" s="38"/>
      <c r="AJ4" s="38"/>
      <c r="AK4" s="38"/>
      <c r="AL4" s="38"/>
      <c r="AM4" s="38"/>
      <c r="AN4" s="38"/>
      <c r="AO4" s="38"/>
      <c r="AP4" s="39"/>
    </row>
    <row r="5" spans="2:43" s="24" customFormat="1" ht="23.25" customHeight="1" x14ac:dyDescent="0.25">
      <c r="B5" s="40" t="s">
        <v>10</v>
      </c>
      <c r="C5" s="53" t="s">
        <v>30</v>
      </c>
      <c r="D5" s="27" t="s">
        <v>11</v>
      </c>
      <c r="E5" s="27" t="s">
        <v>16</v>
      </c>
      <c r="F5" s="27" t="s">
        <v>12</v>
      </c>
      <c r="G5" s="29" t="s">
        <v>13</v>
      </c>
      <c r="H5" s="29" t="s">
        <v>32</v>
      </c>
      <c r="I5" s="30" t="s">
        <v>19</v>
      </c>
      <c r="J5" s="30" t="s">
        <v>33</v>
      </c>
      <c r="K5" s="30" t="s">
        <v>20</v>
      </c>
      <c r="L5" s="30" t="s">
        <v>137</v>
      </c>
      <c r="M5" s="30" t="s">
        <v>66</v>
      </c>
      <c r="N5" s="30" t="s">
        <v>138</v>
      </c>
      <c r="O5" s="69" t="s">
        <v>54</v>
      </c>
      <c r="P5" s="69" t="s">
        <v>35</v>
      </c>
      <c r="Q5" s="69" t="s">
        <v>36</v>
      </c>
      <c r="R5" s="69" t="s">
        <v>139</v>
      </c>
      <c r="S5" s="69" t="s">
        <v>37</v>
      </c>
      <c r="T5" s="69" t="s">
        <v>55</v>
      </c>
      <c r="U5" s="69" t="s">
        <v>56</v>
      </c>
      <c r="V5" s="69" t="s">
        <v>67</v>
      </c>
      <c r="W5" s="148" t="s">
        <v>69</v>
      </c>
      <c r="X5" s="148" t="s">
        <v>70</v>
      </c>
      <c r="Y5" s="148" t="s">
        <v>68</v>
      </c>
      <c r="Z5" s="30" t="s">
        <v>31</v>
      </c>
      <c r="AA5" s="115" t="s">
        <v>38</v>
      </c>
      <c r="AB5" s="115" t="s">
        <v>27</v>
      </c>
      <c r="AC5" s="116" t="s">
        <v>14</v>
      </c>
      <c r="AD5" s="27" t="s">
        <v>15</v>
      </c>
      <c r="AE5" s="27" t="s">
        <v>25</v>
      </c>
      <c r="AF5" s="27" t="s">
        <v>28</v>
      </c>
      <c r="AG5" s="57" t="s">
        <v>29</v>
      </c>
      <c r="AI5" s="41" t="s">
        <v>5</v>
      </c>
      <c r="AJ5" s="41" t="s">
        <v>18</v>
      </c>
      <c r="AK5" s="28" t="s">
        <v>17</v>
      </c>
      <c r="AL5" s="27" t="s">
        <v>21</v>
      </c>
      <c r="AM5" s="27" t="s">
        <v>23</v>
      </c>
      <c r="AN5" s="57" t="s">
        <v>22</v>
      </c>
      <c r="AO5" s="57" t="s">
        <v>25</v>
      </c>
      <c r="AP5" s="58" t="s">
        <v>24</v>
      </c>
      <c r="AQ5" s="33" t="s">
        <v>29</v>
      </c>
    </row>
    <row r="6" spans="2:43" s="33" customFormat="1" ht="23.25" customHeight="1" x14ac:dyDescent="0.25">
      <c r="B6" s="184"/>
      <c r="C6" s="55"/>
      <c r="D6" s="185"/>
      <c r="E6" s="185"/>
      <c r="F6" s="185"/>
      <c r="G6" s="187"/>
      <c r="H6" s="186"/>
      <c r="I6" s="187"/>
      <c r="J6" s="187"/>
      <c r="K6" s="187"/>
      <c r="L6" s="187"/>
      <c r="M6" s="187"/>
      <c r="N6" s="187"/>
      <c r="O6" s="188"/>
      <c r="P6" s="195"/>
      <c r="Q6" s="195"/>
      <c r="R6" s="195"/>
      <c r="S6" s="188"/>
      <c r="T6" s="188"/>
      <c r="U6" s="188"/>
      <c r="V6" s="188"/>
      <c r="W6" s="189"/>
      <c r="X6" s="189"/>
      <c r="Y6" s="189"/>
      <c r="Z6" s="187"/>
      <c r="AA6" s="44"/>
      <c r="AB6" s="190"/>
      <c r="AC6" s="62">
        <f>SUM(G6*$G$3)+(M6*M$3)+(N6*N$3)+(O6*O$3)+(H6*$H$3)+(L6*$L$3)+(P6*$P$3)+(Q6*$Q$3)+(R6*$R$3)+(S6*$S$3)+(T6*$T$3)+(U6*$U$3)+(V6*$V$3)+(W6*$W$3+(X6*$X$3)+(Y6*$Y$3)+AA6+AB6)</f>
        <v>0</v>
      </c>
      <c r="AD6" s="185"/>
      <c r="AE6" s="194"/>
      <c r="AF6" s="119">
        <v>973.9</v>
      </c>
      <c r="AG6" s="191"/>
      <c r="AI6" s="118"/>
      <c r="AJ6" s="118"/>
      <c r="AK6" s="192"/>
      <c r="AL6" s="185"/>
      <c r="AM6" s="185"/>
      <c r="AN6" s="191"/>
      <c r="AO6" s="191"/>
      <c r="AP6" s="193"/>
    </row>
    <row r="7" spans="2:43" s="24" customFormat="1" ht="20.100000000000001" customHeight="1" x14ac:dyDescent="0.25">
      <c r="B7" s="54"/>
      <c r="C7" s="55"/>
      <c r="D7" s="42"/>
      <c r="E7" s="42"/>
      <c r="F7" s="43"/>
      <c r="G7" s="114"/>
      <c r="H7" s="114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177"/>
      <c r="Z7" s="44"/>
      <c r="AA7" s="44"/>
      <c r="AB7" s="44"/>
      <c r="AC7" s="62">
        <f>SUM(G7*$G$3)+(H7*$H$3)+(L7*$L$3)+(P7*$P$3)+(Q7*$Q$3)+(V7*$V$3)+(W7*$W$3+(X7*$X$3)+(Y7*$Y$3)+AA7)</f>
        <v>0</v>
      </c>
      <c r="AD7" s="52"/>
      <c r="AE7" s="106"/>
      <c r="AF7" s="119">
        <v>10905.97</v>
      </c>
      <c r="AG7" s="117"/>
      <c r="AH7" s="45"/>
      <c r="AI7" s="46"/>
      <c r="AJ7" s="47"/>
      <c r="AK7" s="48"/>
      <c r="AL7" s="48"/>
      <c r="AM7" s="49"/>
      <c r="AN7" s="59"/>
      <c r="AO7" s="63"/>
      <c r="AP7" s="64"/>
      <c r="AQ7" s="142" t="e">
        <f>SUM(AP7-AM7-#REF!)</f>
        <v>#REF!</v>
      </c>
    </row>
    <row r="8" spans="2:43" s="24" customFormat="1" ht="20.100000000000001" customHeight="1" x14ac:dyDescent="0.25">
      <c r="B8" s="54"/>
      <c r="C8" s="55"/>
      <c r="D8" s="42"/>
      <c r="E8" s="42"/>
      <c r="F8" s="43"/>
      <c r="G8" s="114"/>
      <c r="H8" s="114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177"/>
      <c r="Z8" s="44"/>
      <c r="AA8" s="44"/>
      <c r="AB8" s="44"/>
      <c r="AC8" s="62"/>
      <c r="AD8" s="52"/>
      <c r="AE8" s="106"/>
      <c r="AF8" s="119"/>
      <c r="AG8" s="117"/>
      <c r="AH8" s="45"/>
      <c r="AI8" s="46"/>
      <c r="AJ8" s="47"/>
      <c r="AK8" s="48"/>
      <c r="AL8" s="48"/>
      <c r="AM8" s="49"/>
      <c r="AN8" s="59"/>
      <c r="AO8" s="63"/>
      <c r="AP8" s="64"/>
      <c r="AQ8" s="142"/>
    </row>
    <row r="9" spans="2:43" s="24" customFormat="1" ht="20.100000000000001" customHeight="1" x14ac:dyDescent="0.25">
      <c r="B9" s="54"/>
      <c r="C9" s="55"/>
      <c r="D9" s="42"/>
      <c r="E9" s="42"/>
      <c r="F9" s="43"/>
      <c r="G9" s="114"/>
      <c r="H9" s="114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177"/>
      <c r="Z9" s="44"/>
      <c r="AA9" s="44"/>
      <c r="AB9" s="44"/>
      <c r="AC9" s="62"/>
      <c r="AD9" s="52"/>
      <c r="AE9" s="106"/>
      <c r="AF9" s="119"/>
      <c r="AG9" s="117"/>
      <c r="AH9" s="45"/>
      <c r="AI9" s="46"/>
      <c r="AJ9" s="47"/>
      <c r="AK9" s="48"/>
      <c r="AL9" s="48"/>
      <c r="AM9" s="49"/>
      <c r="AN9" s="59"/>
      <c r="AO9" s="63"/>
      <c r="AP9" s="64"/>
      <c r="AQ9" s="142"/>
    </row>
    <row r="10" spans="2:43" s="24" customFormat="1" ht="20.100000000000001" customHeight="1" x14ac:dyDescent="0.25">
      <c r="B10" s="54"/>
      <c r="C10" s="55"/>
      <c r="D10" s="42"/>
      <c r="E10" s="42"/>
      <c r="F10" s="43"/>
      <c r="G10" s="114"/>
      <c r="H10" s="114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177"/>
      <c r="Z10" s="44"/>
      <c r="AA10" s="44"/>
      <c r="AB10" s="44"/>
      <c r="AC10" s="62"/>
      <c r="AD10" s="52"/>
      <c r="AE10" s="106"/>
      <c r="AF10" s="119"/>
      <c r="AG10" s="117"/>
      <c r="AH10" s="45"/>
      <c r="AI10" s="46"/>
      <c r="AJ10" s="47"/>
      <c r="AK10" s="48"/>
      <c r="AL10" s="48"/>
      <c r="AM10" s="49"/>
      <c r="AN10" s="59"/>
      <c r="AO10" s="63"/>
      <c r="AP10" s="64"/>
      <c r="AQ10" s="142"/>
    </row>
    <row r="11" spans="2:43" s="24" customFormat="1" ht="20.100000000000001" customHeight="1" x14ac:dyDescent="0.25">
      <c r="B11" s="54"/>
      <c r="C11" s="55"/>
      <c r="D11" s="42"/>
      <c r="E11" s="42"/>
      <c r="F11" s="43"/>
      <c r="G11" s="114"/>
      <c r="H11" s="114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177"/>
      <c r="Z11" s="44"/>
      <c r="AA11" s="44"/>
      <c r="AB11" s="44"/>
      <c r="AC11" s="62"/>
      <c r="AD11" s="52"/>
      <c r="AE11" s="106"/>
      <c r="AF11" s="119"/>
      <c r="AG11" s="117"/>
      <c r="AH11" s="45"/>
      <c r="AI11" s="46"/>
      <c r="AJ11" s="47"/>
      <c r="AK11" s="48"/>
      <c r="AL11" s="48"/>
      <c r="AM11" s="49"/>
      <c r="AN11" s="59"/>
      <c r="AO11" s="63"/>
      <c r="AP11" s="64"/>
      <c r="AQ11" s="142"/>
    </row>
    <row r="12" spans="2:43" s="24" customFormat="1" ht="20.100000000000001" customHeight="1" x14ac:dyDescent="0.25">
      <c r="B12" s="54"/>
      <c r="C12" s="55"/>
      <c r="D12" s="42"/>
      <c r="E12" s="42"/>
      <c r="F12" s="43"/>
      <c r="G12" s="114"/>
      <c r="H12" s="114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177"/>
      <c r="Z12" s="44"/>
      <c r="AA12" s="44"/>
      <c r="AB12" s="44"/>
      <c r="AC12" s="62"/>
      <c r="AD12" s="52"/>
      <c r="AE12" s="106"/>
      <c r="AF12" s="119"/>
      <c r="AG12" s="117"/>
      <c r="AH12" s="45"/>
      <c r="AI12" s="46"/>
      <c r="AJ12" s="47"/>
      <c r="AK12" s="48"/>
      <c r="AL12" s="48"/>
      <c r="AM12" s="49"/>
      <c r="AN12" s="59"/>
      <c r="AO12" s="63"/>
      <c r="AP12" s="64"/>
      <c r="AQ12" s="142"/>
    </row>
    <row r="13" spans="2:43" s="24" customFormat="1" ht="20.100000000000001" customHeight="1" x14ac:dyDescent="0.25">
      <c r="B13" s="54"/>
      <c r="C13" s="55"/>
      <c r="D13" s="42"/>
      <c r="E13" s="42"/>
      <c r="F13" s="43"/>
      <c r="G13" s="114"/>
      <c r="H13" s="114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177"/>
      <c r="Z13" s="44"/>
      <c r="AA13" s="44"/>
      <c r="AB13" s="44"/>
      <c r="AC13" s="62"/>
      <c r="AD13" s="52"/>
      <c r="AE13" s="106"/>
      <c r="AF13" s="119"/>
      <c r="AG13" s="117"/>
      <c r="AH13" s="45"/>
      <c r="AI13" s="46"/>
      <c r="AJ13" s="47"/>
      <c r="AK13" s="48"/>
      <c r="AL13" s="48"/>
      <c r="AM13" s="49"/>
      <c r="AN13" s="59"/>
      <c r="AO13" s="63"/>
      <c r="AP13" s="64"/>
      <c r="AQ13" s="142"/>
    </row>
    <row r="14" spans="2:43" s="24" customFormat="1" ht="20.100000000000001" customHeight="1" x14ac:dyDescent="0.25">
      <c r="B14" s="54"/>
      <c r="C14" s="55"/>
      <c r="D14" s="42"/>
      <c r="E14" s="42"/>
      <c r="F14" s="43"/>
      <c r="G14" s="114"/>
      <c r="H14" s="114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177"/>
      <c r="Z14" s="44"/>
      <c r="AA14" s="44"/>
      <c r="AB14" s="44"/>
      <c r="AC14" s="62"/>
      <c r="AD14" s="52"/>
      <c r="AE14" s="106"/>
      <c r="AF14" s="119"/>
      <c r="AG14" s="117"/>
      <c r="AH14" s="45"/>
      <c r="AI14" s="46"/>
      <c r="AJ14" s="47"/>
      <c r="AK14" s="48"/>
      <c r="AL14" s="48"/>
      <c r="AM14" s="49"/>
      <c r="AN14" s="59"/>
      <c r="AO14" s="63"/>
      <c r="AP14" s="64"/>
      <c r="AQ14" s="142"/>
    </row>
    <row r="15" spans="2:43" s="24" customFormat="1" ht="20.100000000000001" customHeight="1" x14ac:dyDescent="0.25">
      <c r="B15" s="54"/>
      <c r="C15" s="55"/>
      <c r="D15" s="42"/>
      <c r="E15" s="42"/>
      <c r="F15" s="43"/>
      <c r="G15" s="114"/>
      <c r="H15" s="114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177"/>
      <c r="Z15" s="44"/>
      <c r="AA15" s="44"/>
      <c r="AB15" s="44"/>
      <c r="AC15" s="62"/>
      <c r="AD15" s="52"/>
      <c r="AE15" s="106"/>
      <c r="AF15" s="119"/>
      <c r="AG15" s="117"/>
      <c r="AH15" s="45"/>
      <c r="AI15" s="46"/>
      <c r="AJ15" s="47"/>
      <c r="AK15" s="48"/>
      <c r="AL15" s="48"/>
      <c r="AM15" s="49"/>
      <c r="AN15" s="59"/>
      <c r="AO15" s="63"/>
      <c r="AP15" s="64"/>
      <c r="AQ15" s="142"/>
    </row>
    <row r="16" spans="2:43" s="24" customFormat="1" ht="20.100000000000001" customHeight="1" x14ac:dyDescent="0.25">
      <c r="B16" s="54"/>
      <c r="C16" s="55"/>
      <c r="D16" s="42"/>
      <c r="E16" s="42"/>
      <c r="F16" s="43"/>
      <c r="G16" s="114"/>
      <c r="H16" s="114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177"/>
      <c r="Z16" s="44"/>
      <c r="AA16" s="44"/>
      <c r="AB16" s="44"/>
      <c r="AC16" s="62"/>
      <c r="AD16" s="52"/>
      <c r="AE16" s="106"/>
      <c r="AF16" s="119"/>
      <c r="AG16" s="117"/>
      <c r="AH16" s="45"/>
      <c r="AI16" s="46"/>
      <c r="AJ16" s="47"/>
      <c r="AK16" s="48"/>
      <c r="AL16" s="48"/>
      <c r="AM16" s="49"/>
      <c r="AN16" s="59"/>
      <c r="AO16" s="63"/>
      <c r="AP16" s="64"/>
      <c r="AQ16" s="142"/>
    </row>
    <row r="17" spans="2:43" s="24" customFormat="1" ht="20.100000000000001" customHeight="1" x14ac:dyDescent="0.25">
      <c r="B17" s="54"/>
      <c r="C17" s="55"/>
      <c r="D17" s="42"/>
      <c r="E17" s="42"/>
      <c r="F17" s="43"/>
      <c r="G17" s="114"/>
      <c r="H17" s="114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177"/>
      <c r="Z17" s="44"/>
      <c r="AA17" s="44"/>
      <c r="AB17" s="44"/>
      <c r="AC17" s="62"/>
      <c r="AD17" s="52"/>
      <c r="AE17" s="106"/>
      <c r="AF17" s="119"/>
      <c r="AG17" s="117"/>
      <c r="AH17" s="45"/>
      <c r="AI17" s="46"/>
      <c r="AJ17" s="47"/>
      <c r="AK17" s="48"/>
      <c r="AL17" s="48"/>
      <c r="AM17" s="49"/>
      <c r="AN17" s="59"/>
      <c r="AO17" s="63"/>
      <c r="AP17" s="64"/>
      <c r="AQ17" s="142"/>
    </row>
    <row r="18" spans="2:43" s="24" customFormat="1" ht="20.100000000000001" customHeight="1" x14ac:dyDescent="0.25">
      <c r="B18" s="54"/>
      <c r="C18" s="55"/>
      <c r="D18" s="42"/>
      <c r="E18" s="42"/>
      <c r="F18" s="43"/>
      <c r="G18" s="114"/>
      <c r="H18" s="114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177"/>
      <c r="Z18" s="44"/>
      <c r="AA18" s="44"/>
      <c r="AB18" s="44"/>
      <c r="AC18" s="62"/>
      <c r="AD18" s="52"/>
      <c r="AE18" s="106"/>
      <c r="AF18" s="119"/>
      <c r="AG18" s="117"/>
      <c r="AH18" s="45"/>
      <c r="AI18" s="46"/>
      <c r="AJ18" s="47"/>
      <c r="AK18" s="48"/>
      <c r="AL18" s="48"/>
      <c r="AM18" s="49"/>
      <c r="AN18" s="59"/>
      <c r="AO18" s="63"/>
      <c r="AP18" s="64"/>
      <c r="AQ18" s="142"/>
    </row>
    <row r="19" spans="2:43" s="24" customFormat="1" ht="20.100000000000001" customHeight="1" x14ac:dyDescent="0.25">
      <c r="B19" s="54"/>
      <c r="C19" s="55"/>
      <c r="D19" s="42"/>
      <c r="E19" s="42"/>
      <c r="F19" s="43"/>
      <c r="G19" s="114"/>
      <c r="H19" s="114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177"/>
      <c r="Z19" s="44"/>
      <c r="AA19" s="44"/>
      <c r="AB19" s="44"/>
      <c r="AC19" s="62"/>
      <c r="AD19" s="52"/>
      <c r="AE19" s="106"/>
      <c r="AF19" s="119"/>
      <c r="AG19" s="117"/>
      <c r="AH19" s="45"/>
      <c r="AI19" s="46"/>
      <c r="AJ19" s="47"/>
      <c r="AK19" s="48"/>
      <c r="AL19" s="48"/>
      <c r="AM19" s="49"/>
      <c r="AN19" s="59"/>
      <c r="AO19" s="63"/>
      <c r="AP19" s="64"/>
      <c r="AQ19" s="142"/>
    </row>
    <row r="20" spans="2:43" s="24" customFormat="1" ht="20.100000000000001" customHeight="1" x14ac:dyDescent="0.25">
      <c r="B20" s="54"/>
      <c r="C20" s="55"/>
      <c r="D20" s="42"/>
      <c r="E20" s="42"/>
      <c r="F20" s="43"/>
      <c r="G20" s="114"/>
      <c r="H20" s="114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177"/>
      <c r="Z20" s="44"/>
      <c r="AA20" s="44"/>
      <c r="AB20" s="44"/>
      <c r="AC20" s="62"/>
      <c r="AD20" s="52"/>
      <c r="AE20" s="106"/>
      <c r="AF20" s="119"/>
      <c r="AG20" s="117"/>
      <c r="AH20" s="45"/>
      <c r="AI20" s="46"/>
      <c r="AJ20" s="47"/>
      <c r="AK20" s="48"/>
      <c r="AL20" s="48"/>
      <c r="AM20" s="49"/>
      <c r="AN20" s="59"/>
      <c r="AO20" s="63"/>
      <c r="AP20" s="64"/>
      <c r="AQ20" s="142"/>
    </row>
    <row r="21" spans="2:43" s="24" customFormat="1" ht="20.100000000000001" customHeight="1" x14ac:dyDescent="0.25">
      <c r="B21" s="54"/>
      <c r="C21" s="55"/>
      <c r="D21" s="42"/>
      <c r="E21" s="42"/>
      <c r="F21" s="43"/>
      <c r="G21" s="114"/>
      <c r="H21" s="114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177"/>
      <c r="Z21" s="44"/>
      <c r="AA21" s="44"/>
      <c r="AB21" s="44"/>
      <c r="AC21" s="62"/>
      <c r="AD21" s="52"/>
      <c r="AE21" s="106"/>
      <c r="AF21" s="119"/>
      <c r="AG21" s="117"/>
      <c r="AH21" s="45"/>
      <c r="AI21" s="46"/>
      <c r="AJ21" s="47"/>
      <c r="AK21" s="48"/>
      <c r="AL21" s="48"/>
      <c r="AM21" s="49"/>
      <c r="AN21" s="59"/>
      <c r="AO21" s="63"/>
      <c r="AP21" s="64"/>
      <c r="AQ21" s="142"/>
    </row>
    <row r="22" spans="2:43" s="24" customFormat="1" ht="20.100000000000001" customHeight="1" x14ac:dyDescent="0.25">
      <c r="B22" s="54"/>
      <c r="C22" s="55"/>
      <c r="D22" s="42"/>
      <c r="E22" s="42"/>
      <c r="F22" s="43"/>
      <c r="G22" s="114"/>
      <c r="H22" s="114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177"/>
      <c r="Z22" s="44"/>
      <c r="AA22" s="44"/>
      <c r="AB22" s="44"/>
      <c r="AC22" s="62"/>
      <c r="AD22" s="52"/>
      <c r="AE22" s="106"/>
      <c r="AF22" s="119"/>
      <c r="AG22" s="117"/>
      <c r="AH22" s="45"/>
      <c r="AI22" s="46"/>
      <c r="AJ22" s="47"/>
      <c r="AK22" s="48"/>
      <c r="AL22" s="48"/>
      <c r="AM22" s="49"/>
      <c r="AN22" s="59"/>
      <c r="AO22" s="63"/>
      <c r="AP22" s="64"/>
      <c r="AQ22" s="142"/>
    </row>
    <row r="23" spans="2:43" s="25" customFormat="1" ht="20.100000000000001" customHeight="1" x14ac:dyDescent="0.25">
      <c r="B23" s="54"/>
      <c r="C23" s="55"/>
      <c r="D23" s="42"/>
      <c r="E23" s="42"/>
      <c r="F23" s="43"/>
      <c r="G23" s="114"/>
      <c r="H23" s="114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177"/>
      <c r="X23" s="177"/>
      <c r="Y23" s="177"/>
      <c r="Z23" s="44"/>
      <c r="AA23" s="44"/>
      <c r="AB23" s="44"/>
      <c r="AC23" s="62">
        <f>SUM(G23*$G$3)+(H23*$H$3)+(L23*$L$3)+(P23*$P$3)+(Q23*$Q$3)+(V23*$V$3)+(W23*$W$3+(X23*$X$3)+(Y23*$Y$3)+AA23)+AB23+(M23*M3)</f>
        <v>0</v>
      </c>
      <c r="AD23" s="52"/>
      <c r="AE23" s="106"/>
      <c r="AF23" s="119">
        <v>1677.41</v>
      </c>
      <c r="AG23" s="117"/>
      <c r="AH23" s="45"/>
      <c r="AI23" s="46"/>
      <c r="AJ23" s="47"/>
      <c r="AK23" s="50"/>
      <c r="AL23" s="50"/>
      <c r="AM23" s="49"/>
      <c r="AN23" s="60"/>
      <c r="AO23" s="139"/>
      <c r="AP23" s="140"/>
      <c r="AQ23" s="142">
        <f>AP23-AM23</f>
        <v>0</v>
      </c>
    </row>
    <row r="24" spans="2:43" s="25" customFormat="1" ht="23.25" customHeight="1" x14ac:dyDescent="0.25">
      <c r="B24" s="54"/>
      <c r="C24" s="55"/>
      <c r="D24" s="42"/>
      <c r="E24" s="42"/>
      <c r="F24" s="43"/>
      <c r="G24" s="114"/>
      <c r="H24" s="114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149"/>
      <c r="X24" s="149"/>
      <c r="Y24" s="149"/>
      <c r="Z24" s="44"/>
      <c r="AA24" s="44"/>
      <c r="AB24" s="44"/>
      <c r="AC24" s="62">
        <f>SUM(G24*$G$3)+(H24*$H$3)+(L24*$L$3)+(P24*$P$3)+(Q24*$Q$3)+(V24*$V$3)+(W24*$W$3+(X24*$X$3)+(Y24*$Y$3)+AA24)</f>
        <v>0</v>
      </c>
      <c r="AD24" s="52"/>
      <c r="AE24" s="106"/>
      <c r="AF24" s="119"/>
      <c r="AG24" s="117"/>
      <c r="AH24" s="45"/>
      <c r="AI24" s="46"/>
      <c r="AJ24" s="47"/>
      <c r="AK24" s="50"/>
      <c r="AL24" s="50"/>
      <c r="AM24" s="49"/>
      <c r="AN24" s="60"/>
      <c r="AO24" s="154"/>
      <c r="AP24" s="155"/>
      <c r="AQ24" s="142">
        <f t="shared" ref="AQ24:AQ48" si="0">AP24-AM24</f>
        <v>0</v>
      </c>
    </row>
    <row r="25" spans="2:43" s="25" customFormat="1" ht="23.25" customHeight="1" x14ac:dyDescent="0.25">
      <c r="B25" s="54"/>
      <c r="C25" s="55"/>
      <c r="D25" s="42"/>
      <c r="E25" s="42"/>
      <c r="F25" s="43"/>
      <c r="G25" s="114"/>
      <c r="H25" s="114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149"/>
      <c r="X25" s="149"/>
      <c r="Y25" s="149"/>
      <c r="Z25" s="44"/>
      <c r="AA25" s="44"/>
      <c r="AB25" s="44"/>
      <c r="AC25" s="62"/>
      <c r="AD25" s="52"/>
      <c r="AE25" s="106"/>
      <c r="AF25" s="119"/>
      <c r="AG25" s="117"/>
      <c r="AH25" s="45"/>
      <c r="AI25" s="46"/>
      <c r="AJ25" s="47"/>
      <c r="AK25" s="50"/>
      <c r="AL25" s="50"/>
      <c r="AM25" s="49"/>
      <c r="AN25" s="60"/>
      <c r="AO25" s="154"/>
      <c r="AP25" s="155"/>
      <c r="AQ25" s="142">
        <f t="shared" si="0"/>
        <v>0</v>
      </c>
    </row>
    <row r="26" spans="2:43" s="26" customFormat="1" ht="20.100000000000001" customHeight="1" x14ac:dyDescent="0.25">
      <c r="B26" s="54"/>
      <c r="C26" s="55"/>
      <c r="D26" s="42"/>
      <c r="E26" s="42"/>
      <c r="F26" s="43"/>
      <c r="G26" s="114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149"/>
      <c r="X26" s="149"/>
      <c r="Y26" s="149"/>
      <c r="Z26" s="44"/>
      <c r="AA26" s="44"/>
      <c r="AB26" s="44"/>
      <c r="AC26" s="62"/>
      <c r="AD26" s="52"/>
      <c r="AE26" s="106"/>
      <c r="AF26" s="119"/>
      <c r="AG26" s="117"/>
      <c r="AH26" s="45"/>
      <c r="AI26" s="46"/>
      <c r="AJ26" s="47"/>
      <c r="AK26" s="50"/>
      <c r="AL26" s="50"/>
      <c r="AM26" s="49"/>
      <c r="AN26" s="219"/>
      <c r="AO26" s="220"/>
      <c r="AP26" s="156"/>
      <c r="AQ26" s="68">
        <f t="shared" si="0"/>
        <v>0</v>
      </c>
    </row>
    <row r="27" spans="2:43" s="26" customFormat="1" ht="20.100000000000001" customHeight="1" x14ac:dyDescent="0.25">
      <c r="B27" s="54"/>
      <c r="C27" s="55"/>
      <c r="D27" s="42"/>
      <c r="E27" s="42"/>
      <c r="F27" s="43"/>
      <c r="G27" s="114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149"/>
      <c r="X27" s="149"/>
      <c r="Y27" s="149"/>
      <c r="Z27" s="44"/>
      <c r="AA27" s="44"/>
      <c r="AB27" s="44"/>
      <c r="AC27" s="62"/>
      <c r="AD27" s="52"/>
      <c r="AE27" s="106"/>
      <c r="AF27" s="119"/>
      <c r="AG27" s="117"/>
      <c r="AH27" s="45"/>
      <c r="AI27" s="46"/>
      <c r="AJ27" s="47"/>
      <c r="AK27" s="50"/>
      <c r="AL27" s="50"/>
      <c r="AM27" s="49"/>
      <c r="AN27" s="60"/>
      <c r="AO27" s="154"/>
      <c r="AP27" s="155"/>
      <c r="AQ27" s="143">
        <f t="shared" si="0"/>
        <v>0</v>
      </c>
    </row>
    <row r="28" spans="2:43" s="26" customFormat="1" ht="20.100000000000001" customHeight="1" x14ac:dyDescent="0.25">
      <c r="B28" s="54"/>
      <c r="C28" s="55"/>
      <c r="D28" s="42"/>
      <c r="E28" s="42"/>
      <c r="F28" s="43"/>
      <c r="G28" s="112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149"/>
      <c r="X28" s="149"/>
      <c r="Y28" s="149"/>
      <c r="Z28" s="44"/>
      <c r="AA28" s="44"/>
      <c r="AB28" s="44"/>
      <c r="AC28" s="62"/>
      <c r="AD28" s="52"/>
      <c r="AE28" s="106"/>
      <c r="AF28" s="119"/>
      <c r="AG28" s="117"/>
      <c r="AH28" s="51"/>
      <c r="AI28" s="46"/>
      <c r="AJ28" s="47"/>
      <c r="AK28" s="50"/>
      <c r="AL28" s="50"/>
      <c r="AM28" s="49"/>
      <c r="AN28" s="60"/>
      <c r="AO28" s="154"/>
      <c r="AP28" s="155"/>
      <c r="AQ28" s="142">
        <f t="shared" si="0"/>
        <v>0</v>
      </c>
    </row>
    <row r="29" spans="2:43" hidden="1" x14ac:dyDescent="0.25">
      <c r="B29" s="54"/>
      <c r="C29" s="55"/>
      <c r="D29" s="42"/>
      <c r="E29" s="42"/>
      <c r="F29" s="43"/>
      <c r="G29" s="112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149"/>
      <c r="X29" s="149"/>
      <c r="Y29" s="149"/>
      <c r="Z29" s="44"/>
      <c r="AA29" s="44"/>
      <c r="AB29" s="44"/>
      <c r="AC29" s="62"/>
      <c r="AD29" s="52"/>
      <c r="AE29" s="107"/>
      <c r="AF29" s="119"/>
      <c r="AG29" s="117"/>
      <c r="AH29" s="51"/>
      <c r="AI29" s="46"/>
      <c r="AJ29" s="47"/>
      <c r="AK29" s="50"/>
      <c r="AL29" s="50"/>
      <c r="AM29" s="49"/>
      <c r="AN29" s="60"/>
      <c r="AO29" s="153"/>
      <c r="AP29" s="155"/>
      <c r="AQ29" s="68">
        <f t="shared" si="0"/>
        <v>0</v>
      </c>
    </row>
    <row r="30" spans="2:43" hidden="1" x14ac:dyDescent="0.25">
      <c r="B30" s="54"/>
      <c r="C30" s="55"/>
      <c r="D30" s="42"/>
      <c r="E30" s="42"/>
      <c r="F30" s="43"/>
      <c r="G30" s="112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149"/>
      <c r="X30" s="149"/>
      <c r="Y30" s="149"/>
      <c r="Z30" s="44"/>
      <c r="AA30" s="44"/>
      <c r="AB30" s="44"/>
      <c r="AC30" s="62"/>
      <c r="AD30" s="52"/>
      <c r="AE30" s="107"/>
      <c r="AF30" s="119"/>
      <c r="AG30" s="117"/>
      <c r="AH30" s="51"/>
      <c r="AI30" s="46"/>
      <c r="AJ30" s="47"/>
      <c r="AK30" s="50"/>
      <c r="AL30" s="50"/>
      <c r="AM30" s="49"/>
      <c r="AN30" s="60"/>
      <c r="AO30" s="153"/>
      <c r="AP30" s="155"/>
      <c r="AQ30" s="68">
        <f t="shared" si="0"/>
        <v>0</v>
      </c>
    </row>
    <row r="31" spans="2:43" hidden="1" x14ac:dyDescent="0.25">
      <c r="B31" s="54"/>
      <c r="C31" s="55"/>
      <c r="D31" s="42"/>
      <c r="E31" s="42"/>
      <c r="F31" s="43"/>
      <c r="G31" s="112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149"/>
      <c r="X31" s="149"/>
      <c r="Y31" s="149"/>
      <c r="Z31" s="44"/>
      <c r="AA31" s="44"/>
      <c r="AB31" s="44"/>
      <c r="AC31" s="62"/>
      <c r="AD31" s="52"/>
      <c r="AE31" s="107"/>
      <c r="AF31" s="119"/>
      <c r="AG31" s="117"/>
      <c r="AH31" s="51"/>
      <c r="AI31" s="46"/>
      <c r="AJ31" s="47"/>
      <c r="AK31" s="50"/>
      <c r="AL31" s="50"/>
      <c r="AM31" s="49"/>
      <c r="AN31" s="60"/>
      <c r="AO31" s="153"/>
      <c r="AP31" s="155"/>
      <c r="AQ31" s="68">
        <f t="shared" si="0"/>
        <v>0</v>
      </c>
    </row>
    <row r="32" spans="2:43" hidden="1" x14ac:dyDescent="0.25">
      <c r="B32" s="54"/>
      <c r="C32" s="55"/>
      <c r="D32" s="42"/>
      <c r="E32" s="42"/>
      <c r="F32" s="43"/>
      <c r="G32" s="112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149"/>
      <c r="X32" s="149"/>
      <c r="Y32" s="149"/>
      <c r="Z32" s="44"/>
      <c r="AA32" s="44"/>
      <c r="AB32" s="44"/>
      <c r="AC32" s="62"/>
      <c r="AD32" s="52"/>
      <c r="AE32" s="107"/>
      <c r="AF32" s="119"/>
      <c r="AG32" s="117"/>
      <c r="AH32" s="51"/>
      <c r="AI32" s="46"/>
      <c r="AJ32" s="47"/>
      <c r="AK32" s="50"/>
      <c r="AL32" s="50"/>
      <c r="AM32" s="49"/>
      <c r="AN32" s="60"/>
      <c r="AO32" s="153"/>
      <c r="AP32" s="155"/>
      <c r="AQ32" s="68">
        <f t="shared" si="0"/>
        <v>0</v>
      </c>
    </row>
    <row r="33" spans="2:43" hidden="1" x14ac:dyDescent="0.25">
      <c r="B33" s="54"/>
      <c r="C33" s="55"/>
      <c r="D33" s="42"/>
      <c r="E33" s="42"/>
      <c r="F33" s="43"/>
      <c r="G33" s="112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149"/>
      <c r="X33" s="149"/>
      <c r="Y33" s="149"/>
      <c r="Z33" s="44"/>
      <c r="AA33" s="44"/>
      <c r="AB33" s="44"/>
      <c r="AC33" s="62"/>
      <c r="AD33" s="52"/>
      <c r="AE33" s="107"/>
      <c r="AF33" s="119"/>
      <c r="AG33" s="117"/>
      <c r="AH33" s="51"/>
      <c r="AI33" s="46"/>
      <c r="AJ33" s="47"/>
      <c r="AK33" s="50"/>
      <c r="AL33" s="50"/>
      <c r="AM33" s="49"/>
      <c r="AN33" s="60"/>
      <c r="AO33" s="153"/>
      <c r="AP33" s="155"/>
      <c r="AQ33" s="68">
        <f t="shared" si="0"/>
        <v>0</v>
      </c>
    </row>
    <row r="34" spans="2:43" hidden="1" x14ac:dyDescent="0.25">
      <c r="B34" s="54"/>
      <c r="C34" s="55"/>
      <c r="D34" s="42"/>
      <c r="E34" s="42"/>
      <c r="F34" s="43"/>
      <c r="G34" s="112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149"/>
      <c r="X34" s="149"/>
      <c r="Y34" s="149"/>
      <c r="Z34" s="44"/>
      <c r="AA34" s="44"/>
      <c r="AB34" s="44"/>
      <c r="AC34" s="62"/>
      <c r="AD34" s="52"/>
      <c r="AE34" s="107"/>
      <c r="AF34" s="119"/>
      <c r="AG34" s="117"/>
      <c r="AH34" s="51"/>
      <c r="AI34" s="46"/>
      <c r="AJ34" s="47"/>
      <c r="AK34" s="50"/>
      <c r="AL34" s="50"/>
      <c r="AM34" s="49"/>
      <c r="AN34" s="60"/>
      <c r="AO34" s="153"/>
      <c r="AP34" s="155"/>
      <c r="AQ34" s="68">
        <f t="shared" si="0"/>
        <v>0</v>
      </c>
    </row>
    <row r="35" spans="2:43" hidden="1" x14ac:dyDescent="0.25">
      <c r="B35" s="54"/>
      <c r="C35" s="55"/>
      <c r="D35" s="42"/>
      <c r="E35" s="42"/>
      <c r="F35" s="43"/>
      <c r="G35" s="112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149"/>
      <c r="X35" s="149"/>
      <c r="Y35" s="149"/>
      <c r="Z35" s="44"/>
      <c r="AA35" s="44"/>
      <c r="AB35" s="44"/>
      <c r="AC35" s="62"/>
      <c r="AD35" s="52"/>
      <c r="AE35" s="107"/>
      <c r="AF35" s="119"/>
      <c r="AG35" s="117"/>
      <c r="AH35" s="51"/>
      <c r="AI35" s="46"/>
      <c r="AJ35" s="47"/>
      <c r="AK35" s="50"/>
      <c r="AL35" s="50"/>
      <c r="AM35" s="49"/>
      <c r="AN35" s="60"/>
      <c r="AO35" s="153"/>
      <c r="AP35" s="155"/>
      <c r="AQ35" s="68">
        <f t="shared" si="0"/>
        <v>0</v>
      </c>
    </row>
    <row r="36" spans="2:43" hidden="1" x14ac:dyDescent="0.25">
      <c r="B36" s="54"/>
      <c r="C36" s="55"/>
      <c r="D36" s="42"/>
      <c r="E36" s="42"/>
      <c r="F36" s="43"/>
      <c r="G36" s="112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149"/>
      <c r="X36" s="149"/>
      <c r="Y36" s="149"/>
      <c r="Z36" s="44"/>
      <c r="AA36" s="44"/>
      <c r="AB36" s="44"/>
      <c r="AC36" s="62"/>
      <c r="AD36" s="52"/>
      <c r="AE36" s="107"/>
      <c r="AF36" s="119"/>
      <c r="AG36" s="117"/>
      <c r="AH36" s="51"/>
      <c r="AI36" s="46"/>
      <c r="AJ36" s="47"/>
      <c r="AK36" s="50"/>
      <c r="AL36" s="50"/>
      <c r="AM36" s="49"/>
      <c r="AN36" s="60"/>
      <c r="AO36" s="153"/>
      <c r="AP36" s="155"/>
      <c r="AQ36" s="68">
        <f t="shared" si="0"/>
        <v>0</v>
      </c>
    </row>
    <row r="37" spans="2:43" hidden="1" x14ac:dyDescent="0.25">
      <c r="B37" s="54"/>
      <c r="C37" s="55"/>
      <c r="D37" s="42"/>
      <c r="E37" s="42"/>
      <c r="F37" s="43"/>
      <c r="G37" s="112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149"/>
      <c r="X37" s="149"/>
      <c r="Y37" s="149"/>
      <c r="Z37" s="44"/>
      <c r="AA37" s="44"/>
      <c r="AB37" s="44"/>
      <c r="AC37" s="62"/>
      <c r="AD37" s="52"/>
      <c r="AE37" s="107"/>
      <c r="AF37" s="119"/>
      <c r="AG37" s="117"/>
      <c r="AH37" s="51"/>
      <c r="AI37" s="46"/>
      <c r="AJ37" s="47"/>
      <c r="AK37" s="50"/>
      <c r="AL37" s="50"/>
      <c r="AM37" s="49"/>
      <c r="AN37" s="60"/>
      <c r="AO37" s="153"/>
      <c r="AP37" s="155"/>
      <c r="AQ37" s="68">
        <f t="shared" si="0"/>
        <v>0</v>
      </c>
    </row>
    <row r="38" spans="2:43" hidden="1" x14ac:dyDescent="0.25">
      <c r="B38" s="54"/>
      <c r="C38" s="55"/>
      <c r="D38" s="42"/>
      <c r="E38" s="42"/>
      <c r="F38" s="43"/>
      <c r="G38" s="112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149"/>
      <c r="X38" s="149"/>
      <c r="Y38" s="149"/>
      <c r="Z38" s="44"/>
      <c r="AA38" s="44"/>
      <c r="AB38" s="44"/>
      <c r="AC38" s="62"/>
      <c r="AD38" s="52"/>
      <c r="AE38" s="107"/>
      <c r="AF38" s="119"/>
      <c r="AG38" s="117"/>
      <c r="AH38" s="51"/>
      <c r="AI38" s="46"/>
      <c r="AJ38" s="47"/>
      <c r="AK38" s="50"/>
      <c r="AL38" s="50"/>
      <c r="AM38" s="49"/>
      <c r="AN38" s="60"/>
      <c r="AO38" s="153"/>
      <c r="AP38" s="155"/>
      <c r="AQ38" s="68">
        <f t="shared" si="0"/>
        <v>0</v>
      </c>
    </row>
    <row r="39" spans="2:43" hidden="1" x14ac:dyDescent="0.25">
      <c r="B39" s="54"/>
      <c r="C39" s="55"/>
      <c r="D39" s="42"/>
      <c r="E39" s="42"/>
      <c r="F39" s="43"/>
      <c r="G39" s="112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149"/>
      <c r="X39" s="149"/>
      <c r="Y39" s="149"/>
      <c r="Z39" s="44"/>
      <c r="AA39" s="44"/>
      <c r="AB39" s="44"/>
      <c r="AC39" s="62"/>
      <c r="AD39" s="52"/>
      <c r="AE39" s="107"/>
      <c r="AF39" s="119"/>
      <c r="AG39" s="117"/>
      <c r="AH39" s="51"/>
      <c r="AI39" s="46"/>
      <c r="AJ39" s="47"/>
      <c r="AK39" s="50"/>
      <c r="AL39" s="50"/>
      <c r="AM39" s="49"/>
      <c r="AN39" s="60"/>
      <c r="AO39" s="153"/>
      <c r="AP39" s="155"/>
      <c r="AQ39" s="68">
        <f t="shared" si="0"/>
        <v>0</v>
      </c>
    </row>
    <row r="40" spans="2:43" hidden="1" x14ac:dyDescent="0.25">
      <c r="B40" s="54"/>
      <c r="C40" s="55"/>
      <c r="D40" s="42"/>
      <c r="E40" s="42"/>
      <c r="F40" s="43"/>
      <c r="G40" s="112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149"/>
      <c r="X40" s="149"/>
      <c r="Y40" s="149"/>
      <c r="Z40" s="44"/>
      <c r="AA40" s="44"/>
      <c r="AB40" s="44"/>
      <c r="AC40" s="62"/>
      <c r="AD40" s="52"/>
      <c r="AE40" s="107"/>
      <c r="AF40" s="119"/>
      <c r="AG40" s="117"/>
      <c r="AH40" s="51"/>
      <c r="AI40" s="46"/>
      <c r="AJ40" s="47"/>
      <c r="AK40" s="50"/>
      <c r="AL40" s="50"/>
      <c r="AM40" s="49"/>
      <c r="AN40" s="60"/>
      <c r="AO40" s="153"/>
      <c r="AP40" s="155"/>
      <c r="AQ40" s="68">
        <f t="shared" si="0"/>
        <v>0</v>
      </c>
    </row>
    <row r="41" spans="2:43" hidden="1" x14ac:dyDescent="0.25">
      <c r="B41" s="54"/>
      <c r="C41" s="55"/>
      <c r="D41" s="42"/>
      <c r="E41" s="42"/>
      <c r="F41" s="43"/>
      <c r="G41" s="112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149"/>
      <c r="X41" s="149"/>
      <c r="Y41" s="149"/>
      <c r="Z41" s="44"/>
      <c r="AA41" s="44"/>
      <c r="AB41" s="44"/>
      <c r="AC41" s="62"/>
      <c r="AD41" s="52"/>
      <c r="AE41" s="107"/>
      <c r="AF41" s="119"/>
      <c r="AG41" s="117"/>
      <c r="AH41" s="51"/>
      <c r="AI41" s="46"/>
      <c r="AJ41" s="47"/>
      <c r="AK41" s="50"/>
      <c r="AL41" s="50"/>
      <c r="AM41" s="49"/>
      <c r="AN41" s="60"/>
      <c r="AO41" s="153"/>
      <c r="AP41" s="155"/>
      <c r="AQ41" s="68">
        <f t="shared" si="0"/>
        <v>0</v>
      </c>
    </row>
    <row r="42" spans="2:43" hidden="1" x14ac:dyDescent="0.25">
      <c r="B42" s="54"/>
      <c r="C42" s="55"/>
      <c r="D42" s="42"/>
      <c r="E42" s="42"/>
      <c r="F42" s="43"/>
      <c r="G42" s="112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149"/>
      <c r="X42" s="149"/>
      <c r="Y42" s="149"/>
      <c r="Z42" s="44"/>
      <c r="AA42" s="44"/>
      <c r="AB42" s="44"/>
      <c r="AC42" s="62"/>
      <c r="AD42" s="52"/>
      <c r="AE42" s="107"/>
      <c r="AF42" s="119"/>
      <c r="AG42" s="117"/>
      <c r="AH42" s="51"/>
      <c r="AI42" s="46"/>
      <c r="AJ42" s="47"/>
      <c r="AK42" s="50"/>
      <c r="AL42" s="50"/>
      <c r="AM42" s="49"/>
      <c r="AN42" s="60"/>
      <c r="AO42" s="153"/>
      <c r="AP42" s="155"/>
      <c r="AQ42" s="68">
        <f t="shared" si="0"/>
        <v>0</v>
      </c>
    </row>
    <row r="43" spans="2:43" hidden="1" x14ac:dyDescent="0.25">
      <c r="B43" s="54"/>
      <c r="C43" s="55"/>
      <c r="D43" s="42"/>
      <c r="E43" s="42"/>
      <c r="F43" s="43"/>
      <c r="G43" s="112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149"/>
      <c r="X43" s="149"/>
      <c r="Y43" s="149"/>
      <c r="Z43" s="44"/>
      <c r="AA43" s="44"/>
      <c r="AB43" s="44"/>
      <c r="AC43" s="62"/>
      <c r="AD43" s="52"/>
      <c r="AE43" s="107"/>
      <c r="AF43" s="119"/>
      <c r="AG43" s="117"/>
      <c r="AH43" s="51"/>
      <c r="AI43" s="46"/>
      <c r="AJ43" s="47"/>
      <c r="AK43" s="50"/>
      <c r="AL43" s="50"/>
      <c r="AM43" s="49"/>
      <c r="AN43" s="60"/>
      <c r="AO43" s="153"/>
      <c r="AP43" s="155"/>
      <c r="AQ43" s="68">
        <f t="shared" si="0"/>
        <v>0</v>
      </c>
    </row>
    <row r="44" spans="2:43" hidden="1" x14ac:dyDescent="0.25">
      <c r="B44" s="54"/>
      <c r="C44" s="55"/>
      <c r="D44" s="42"/>
      <c r="E44" s="42"/>
      <c r="F44" s="43"/>
      <c r="G44" s="112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149"/>
      <c r="X44" s="149"/>
      <c r="Y44" s="149"/>
      <c r="Z44" s="44"/>
      <c r="AA44" s="44"/>
      <c r="AB44" s="44"/>
      <c r="AC44" s="62"/>
      <c r="AD44" s="52"/>
      <c r="AE44" s="107"/>
      <c r="AF44" s="119"/>
      <c r="AG44" s="117"/>
      <c r="AH44" s="51"/>
      <c r="AI44" s="46"/>
      <c r="AJ44" s="47"/>
      <c r="AK44" s="50"/>
      <c r="AL44" s="50"/>
      <c r="AM44" s="49"/>
      <c r="AN44" s="60"/>
      <c r="AO44" s="153"/>
      <c r="AP44" s="155"/>
      <c r="AQ44" s="68">
        <f t="shared" si="0"/>
        <v>0</v>
      </c>
    </row>
    <row r="45" spans="2:43" hidden="1" x14ac:dyDescent="0.25">
      <c r="B45" s="54"/>
      <c r="C45" s="55"/>
      <c r="D45" s="42"/>
      <c r="E45" s="42"/>
      <c r="F45" s="43"/>
      <c r="G45" s="112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149"/>
      <c r="X45" s="149"/>
      <c r="Y45" s="149"/>
      <c r="Z45" s="44"/>
      <c r="AA45" s="44"/>
      <c r="AB45" s="44"/>
      <c r="AC45" s="62"/>
      <c r="AD45" s="52"/>
      <c r="AE45" s="107"/>
      <c r="AF45" s="119"/>
      <c r="AG45" s="117"/>
      <c r="AH45" s="51"/>
      <c r="AI45" s="46"/>
      <c r="AJ45" s="47"/>
      <c r="AK45" s="50"/>
      <c r="AL45" s="50"/>
      <c r="AM45" s="49"/>
      <c r="AN45" s="60"/>
      <c r="AO45" s="153"/>
      <c r="AP45" s="155"/>
      <c r="AQ45" s="68">
        <f t="shared" si="0"/>
        <v>0</v>
      </c>
    </row>
    <row r="46" spans="2:43" x14ac:dyDescent="0.25">
      <c r="B46" s="54"/>
      <c r="C46" s="55"/>
      <c r="D46" s="42"/>
      <c r="E46" s="42"/>
      <c r="F46" s="43"/>
      <c r="G46" s="112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149"/>
      <c r="X46" s="149"/>
      <c r="Y46" s="149"/>
      <c r="Z46" s="44"/>
      <c r="AA46" s="44"/>
      <c r="AB46" s="44"/>
      <c r="AC46" s="62"/>
      <c r="AD46" s="52"/>
      <c r="AE46" s="106"/>
      <c r="AF46" s="119"/>
      <c r="AG46" s="117"/>
      <c r="AH46" s="51"/>
      <c r="AI46" s="46"/>
      <c r="AJ46" s="47"/>
      <c r="AK46" s="50"/>
      <c r="AL46" s="50"/>
      <c r="AM46" s="49"/>
      <c r="AN46" s="219"/>
      <c r="AO46" s="220"/>
      <c r="AP46" s="155"/>
      <c r="AQ46" s="68">
        <f t="shared" si="0"/>
        <v>0</v>
      </c>
    </row>
    <row r="47" spans="2:43" x14ac:dyDescent="0.25">
      <c r="B47" s="54"/>
      <c r="C47" s="55"/>
      <c r="D47" s="42"/>
      <c r="E47" s="42"/>
      <c r="F47" s="43"/>
      <c r="G47" s="112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149"/>
      <c r="X47" s="149"/>
      <c r="Y47" s="149"/>
      <c r="Z47" s="44"/>
      <c r="AA47" s="44"/>
      <c r="AB47" s="44"/>
      <c r="AC47" s="62"/>
      <c r="AD47" s="52"/>
      <c r="AE47" s="106"/>
      <c r="AF47" s="119"/>
      <c r="AG47" s="117"/>
      <c r="AH47" s="51"/>
      <c r="AI47" s="138"/>
      <c r="AJ47" s="47"/>
      <c r="AK47" s="144"/>
      <c r="AL47" s="50"/>
      <c r="AM47" s="49"/>
      <c r="AN47" s="60"/>
      <c r="AO47" s="154"/>
      <c r="AP47" s="155"/>
      <c r="AQ47" s="143">
        <f t="shared" si="0"/>
        <v>0</v>
      </c>
    </row>
    <row r="48" spans="2:43" x14ac:dyDescent="0.25">
      <c r="B48" s="54"/>
      <c r="C48" s="55"/>
      <c r="D48" s="42"/>
      <c r="E48" s="42"/>
      <c r="F48" s="43"/>
      <c r="G48" s="112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149"/>
      <c r="X48" s="149"/>
      <c r="Y48" s="149"/>
      <c r="Z48" s="44"/>
      <c r="AA48" s="44"/>
      <c r="AB48" s="44"/>
      <c r="AC48" s="62"/>
      <c r="AD48" s="52"/>
      <c r="AE48" s="106"/>
      <c r="AF48" s="119"/>
      <c r="AG48" s="117"/>
      <c r="AH48" s="51"/>
      <c r="AI48" s="46"/>
      <c r="AJ48" s="47"/>
      <c r="AK48" s="50"/>
      <c r="AL48" s="50"/>
      <c r="AM48" s="49"/>
      <c r="AN48" s="60"/>
      <c r="AO48" s="153"/>
      <c r="AP48" s="155"/>
      <c r="AQ48" s="68">
        <f t="shared" si="0"/>
        <v>0</v>
      </c>
    </row>
    <row r="49" spans="2:46" x14ac:dyDescent="0.25">
      <c r="B49" s="54"/>
      <c r="C49" s="55"/>
      <c r="D49" s="42"/>
      <c r="E49" s="42"/>
      <c r="F49" s="43"/>
      <c r="G49" s="112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149"/>
      <c r="X49" s="149"/>
      <c r="Y49" s="149"/>
      <c r="Z49" s="44"/>
      <c r="AA49" s="44"/>
      <c r="AB49" s="44"/>
      <c r="AC49" s="62"/>
      <c r="AD49" s="52"/>
      <c r="AE49" s="106"/>
      <c r="AF49" s="119"/>
      <c r="AG49" s="117"/>
      <c r="AH49" s="51"/>
      <c r="AI49" s="46"/>
      <c r="AJ49" s="47"/>
      <c r="AK49" s="50"/>
      <c r="AL49" s="50"/>
      <c r="AM49" s="49"/>
      <c r="AN49" s="60"/>
      <c r="AO49" s="154"/>
      <c r="AP49" s="155"/>
      <c r="AQ49" s="143">
        <f>AP49-AM49</f>
        <v>0</v>
      </c>
    </row>
    <row r="50" spans="2:46" x14ac:dyDescent="0.25">
      <c r="B50" s="54"/>
      <c r="C50" s="55"/>
      <c r="D50" s="42"/>
      <c r="E50" s="42"/>
      <c r="F50" s="43"/>
      <c r="G50" s="112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149"/>
      <c r="X50" s="149"/>
      <c r="Y50" s="149"/>
      <c r="Z50" s="44"/>
      <c r="AA50" s="44"/>
      <c r="AB50" s="44"/>
      <c r="AC50" s="62"/>
      <c r="AD50" s="52"/>
      <c r="AE50" s="107"/>
      <c r="AF50" s="119"/>
      <c r="AG50" s="117"/>
      <c r="AH50" s="51"/>
      <c r="AI50" s="46"/>
      <c r="AJ50" s="47"/>
      <c r="AK50" s="50"/>
      <c r="AL50" s="50"/>
      <c r="AM50" s="49"/>
      <c r="AN50" s="60"/>
      <c r="AO50" s="60"/>
      <c r="AP50" s="61"/>
      <c r="AQ50" s="26"/>
    </row>
    <row r="51" spans="2:46" ht="15.75" thickBot="1" x14ac:dyDescent="0.3">
      <c r="B51" s="71"/>
      <c r="C51" s="72"/>
      <c r="D51" s="73"/>
      <c r="E51" s="73"/>
      <c r="F51" s="74"/>
      <c r="G51" s="113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150"/>
      <c r="X51" s="150"/>
      <c r="Y51" s="150"/>
      <c r="Z51" s="111"/>
      <c r="AA51" s="111"/>
      <c r="AB51" s="111"/>
      <c r="AC51" s="62"/>
      <c r="AD51" s="76"/>
      <c r="AE51" s="108"/>
      <c r="AF51" s="120"/>
      <c r="AG51" s="117"/>
      <c r="AH51" s="77"/>
      <c r="AI51" s="118"/>
      <c r="AJ51" s="141"/>
      <c r="AK51" s="78"/>
      <c r="AL51" s="78"/>
      <c r="AM51" s="79"/>
      <c r="AN51" s="80"/>
      <c r="AO51" s="80"/>
      <c r="AP51" s="81"/>
      <c r="AQ51" s="26"/>
    </row>
    <row r="52" spans="2:46" s="65" customFormat="1" ht="15.75" thickBot="1" x14ac:dyDescent="0.3">
      <c r="B52" s="82"/>
      <c r="C52" s="83"/>
      <c r="D52" s="84"/>
      <c r="E52" s="84"/>
      <c r="F52" s="85"/>
      <c r="G52" s="86">
        <f>SUM(G6:G51)</f>
        <v>0</v>
      </c>
      <c r="H52" s="86">
        <f>SUM(H6:H51)</f>
        <v>0</v>
      </c>
      <c r="I52" s="87">
        <f t="shared" ref="I52:AG52" si="1">SUM(I7:I51)</f>
        <v>0</v>
      </c>
      <c r="J52" s="87">
        <f t="shared" si="1"/>
        <v>0</v>
      </c>
      <c r="K52" s="87">
        <f t="shared" si="1"/>
        <v>0</v>
      </c>
      <c r="L52" s="87">
        <f t="shared" ref="L52:AB52" si="2">SUM(L6:L51)</f>
        <v>0</v>
      </c>
      <c r="M52" s="87">
        <f t="shared" si="2"/>
        <v>0</v>
      </c>
      <c r="N52" s="87">
        <f t="shared" ref="N52" si="3">SUM(N6:N51)</f>
        <v>0</v>
      </c>
      <c r="O52" s="87">
        <f t="shared" si="2"/>
        <v>0</v>
      </c>
      <c r="P52" s="87">
        <f t="shared" si="2"/>
        <v>0</v>
      </c>
      <c r="Q52" s="87">
        <f t="shared" si="2"/>
        <v>0</v>
      </c>
      <c r="R52" s="87">
        <f t="shared" ref="R52" si="4">SUM(R6:R51)</f>
        <v>0</v>
      </c>
      <c r="S52" s="87">
        <f t="shared" si="2"/>
        <v>0</v>
      </c>
      <c r="T52" s="87">
        <f t="shared" si="2"/>
        <v>0</v>
      </c>
      <c r="U52" s="87">
        <f t="shared" si="2"/>
        <v>0</v>
      </c>
      <c r="V52" s="87">
        <f t="shared" si="2"/>
        <v>0</v>
      </c>
      <c r="W52" s="87">
        <f t="shared" si="2"/>
        <v>0</v>
      </c>
      <c r="X52" s="87">
        <f t="shared" si="2"/>
        <v>0</v>
      </c>
      <c r="Y52" s="87">
        <f t="shared" si="2"/>
        <v>0</v>
      </c>
      <c r="Z52" s="87">
        <f t="shared" si="2"/>
        <v>0</v>
      </c>
      <c r="AA52" s="196">
        <f t="shared" si="2"/>
        <v>0</v>
      </c>
      <c r="AB52" s="196">
        <f t="shared" si="2"/>
        <v>0</v>
      </c>
      <c r="AC52" s="88">
        <f t="shared" si="1"/>
        <v>0</v>
      </c>
      <c r="AD52" s="87">
        <f t="shared" si="1"/>
        <v>0</v>
      </c>
      <c r="AE52" s="87">
        <f t="shared" si="1"/>
        <v>0</v>
      </c>
      <c r="AF52" s="88">
        <f t="shared" si="1"/>
        <v>12583.38</v>
      </c>
      <c r="AG52" s="88">
        <f t="shared" si="1"/>
        <v>0</v>
      </c>
      <c r="AH52" s="89"/>
      <c r="AI52" s="90">
        <f>SUM(AI7:AI51)</f>
        <v>0</v>
      </c>
      <c r="AJ52" s="90">
        <f>SUM(AJ7:AJ51)</f>
        <v>0</v>
      </c>
      <c r="AK52" s="90">
        <f>SUM(AK7:AK51)</f>
        <v>0</v>
      </c>
      <c r="AL52" s="90">
        <f>SUM(AL7:AL51)</f>
        <v>0</v>
      </c>
      <c r="AM52" s="90">
        <f>SUM(AM7:AM51)</f>
        <v>0</v>
      </c>
      <c r="AN52" s="91"/>
      <c r="AO52" s="91"/>
      <c r="AP52" s="170">
        <f>SUM(AP7:AP51)</f>
        <v>0</v>
      </c>
      <c r="AQ52" s="66"/>
      <c r="AR52" s="2" t="s">
        <v>58</v>
      </c>
      <c r="AS52" s="65" t="s">
        <v>57</v>
      </c>
      <c r="AT52" s="169" t="e">
        <f>SUM(AT50:AT51)+AP52+#REF!+#REF!</f>
        <v>#REF!</v>
      </c>
    </row>
    <row r="53" spans="2:46" x14ac:dyDescent="0.25">
      <c r="AC53" s="1"/>
    </row>
    <row r="54" spans="2:46" x14ac:dyDescent="0.25">
      <c r="AC54" s="2"/>
      <c r="AI54" s="151"/>
      <c r="AJ54" s="151"/>
      <c r="AK54" s="151"/>
      <c r="AL54" s="151"/>
      <c r="AM54" s="151"/>
      <c r="AN54" s="65"/>
    </row>
    <row r="55" spans="2:46" x14ac:dyDescent="0.25">
      <c r="F55" s="102"/>
      <c r="AC55" s="165"/>
      <c r="AN55" s="65"/>
    </row>
    <row r="56" spans="2:46" x14ac:dyDescent="0.25">
      <c r="F56" s="102"/>
      <c r="AC56" s="168"/>
      <c r="AN56" s="65"/>
    </row>
    <row r="57" spans="2:46" x14ac:dyDescent="0.25">
      <c r="F57" s="102"/>
      <c r="AC57" s="102"/>
    </row>
    <row r="59" spans="2:46" x14ac:dyDescent="0.25">
      <c r="AC59" s="166"/>
      <c r="AD59" s="167"/>
    </row>
    <row r="60" spans="2:46" x14ac:dyDescent="0.25">
      <c r="AI60" s="159"/>
      <c r="AJ60" s="160"/>
      <c r="AK60" s="159"/>
      <c r="AL60" s="158"/>
      <c r="AM60" s="162"/>
      <c r="AN60" s="161"/>
      <c r="AO60" s="158"/>
      <c r="AP60" s="158"/>
    </row>
  </sheetData>
  <mergeCells count="5">
    <mergeCell ref="AI2:AP2"/>
    <mergeCell ref="G2:V2"/>
    <mergeCell ref="Z2:AG2"/>
    <mergeCell ref="AN26:AO26"/>
    <mergeCell ref="AN46:AO46"/>
  </mergeCells>
  <conditionalFormatting sqref="AE7:AE51">
    <cfRule type="containsText" dxfId="1" priority="3" operator="containsText" text="pay">
      <formula>NOT(ISERROR(SEARCH("pay",AE7)))</formula>
    </cfRule>
    <cfRule type="containsText" dxfId="0" priority="4" operator="containsText" text="check">
      <formula>NOT(ISERROR(SEARCH("check",AE7)))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REO SUPPLY SUMMARY</vt:lpstr>
      <vt:lpstr>REO SUPPLY SUMMARY (2)</vt:lpstr>
      <vt:lpstr>REO SUPPLY ENTRY</vt:lpstr>
      <vt:lpstr>STEEL DOCKET ENTRY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Keenan</dc:creator>
  <cp:lastModifiedBy>Jackson Woollett</cp:lastModifiedBy>
  <cp:lastPrinted>2019-02-07T00:21:50Z</cp:lastPrinted>
  <dcterms:created xsi:type="dcterms:W3CDTF">2018-06-28T00:58:25Z</dcterms:created>
  <dcterms:modified xsi:type="dcterms:W3CDTF">2020-12-15T23:19:55Z</dcterms:modified>
</cp:coreProperties>
</file>