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bmd-my.sharepoint.com/personal/nicmah1_bmd_com_au1/Documents/Documents/Project MGMT Diploma/Manage project cost/"/>
    </mc:Choice>
  </mc:AlternateContent>
  <xr:revisionPtr revIDLastSave="53" documentId="8_{4ED434AC-CBD9-4F7B-A712-44F5D1B8BF2C}" xr6:coauthVersionLast="47" xr6:coauthVersionMax="47" xr10:uidLastSave="{29071AE7-186C-43A0-8BF9-79C4550FBDA1}"/>
  <bookViews>
    <workbookView xWindow="-98" yWindow="-98" windowWidth="22695" windowHeight="14595" xr2:uid="{FAFCE125-CB05-48A0-8AD4-51886470F380}"/>
  </bookViews>
  <sheets>
    <sheet name="Rock Causeway Access" sheetId="1" r:id="rId1"/>
    <sheet name="Abutment Piling Pads" sheetId="2" r:id="rId2"/>
    <sheet name="Dewatering Pile Caps DJC" sheetId="3" r:id="rId3"/>
    <sheet name="Flashboard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1" l="1"/>
  <c r="C31" i="4"/>
  <c r="F31" i="4" s="1"/>
  <c r="F27" i="4"/>
  <c r="F26" i="4"/>
  <c r="F25" i="4"/>
  <c r="C20" i="4" l="1"/>
  <c r="C13" i="4"/>
  <c r="C15" i="4"/>
  <c r="K24" i="1"/>
  <c r="G1" i="4" l="1"/>
  <c r="K25" i="1" s="1"/>
  <c r="L28" i="2"/>
  <c r="O28" i="2" s="1"/>
  <c r="L27" i="2"/>
  <c r="O27" i="2" s="1"/>
  <c r="O19" i="2"/>
  <c r="L16" i="2" s="1"/>
  <c r="L5" i="2" s="1"/>
  <c r="O5" i="2" s="1"/>
  <c r="L20" i="2"/>
  <c r="C23" i="2"/>
  <c r="C5" i="2" s="1"/>
  <c r="C13" i="2"/>
  <c r="C14" i="2" s="1"/>
  <c r="C15" i="2" s="1"/>
  <c r="C18" i="2" s="1"/>
  <c r="C53" i="2"/>
  <c r="F53" i="2" s="1"/>
  <c r="C52" i="2"/>
  <c r="F52" i="2" s="1"/>
  <c r="C51" i="2"/>
  <c r="F51" i="2" s="1"/>
  <c r="A39" i="2"/>
  <c r="C41" i="2" s="1"/>
  <c r="F41" i="2" s="1"/>
  <c r="F49" i="1"/>
  <c r="D38" i="1"/>
  <c r="D39" i="1" s="1"/>
  <c r="C38" i="1"/>
  <c r="C39" i="1" s="1"/>
  <c r="F32" i="1"/>
  <c r="D8" i="1"/>
  <c r="B7" i="1"/>
  <c r="D7" i="1" s="1"/>
  <c r="F30" i="1" s="1"/>
  <c r="D6" i="1"/>
  <c r="D5" i="1"/>
  <c r="C54" i="1" s="1"/>
  <c r="F54" i="1" s="1"/>
  <c r="L11" i="2" l="1"/>
  <c r="O11" i="2" s="1"/>
  <c r="L12" i="2"/>
  <c r="O12" i="2" s="1"/>
  <c r="L13" i="2"/>
  <c r="O13" i="2" s="1"/>
  <c r="C20" i="2"/>
  <c r="C19" i="2"/>
  <c r="C46" i="2"/>
  <c r="F46" i="2" s="1"/>
  <c r="C44" i="2"/>
  <c r="F44" i="2" s="1"/>
  <c r="C45" i="2"/>
  <c r="F45" i="2" s="1"/>
  <c r="C71" i="1"/>
  <c r="C57" i="1"/>
  <c r="C59" i="1" s="1"/>
  <c r="C61" i="1" s="1"/>
  <c r="C67" i="1" s="1"/>
  <c r="F67" i="1" s="1"/>
  <c r="C40" i="1"/>
  <c r="F36" i="1" s="1"/>
  <c r="C31" i="1"/>
  <c r="F31" i="1" s="1"/>
  <c r="F29" i="1"/>
  <c r="C73" i="1" l="1"/>
  <c r="C75" i="1" s="1"/>
  <c r="C83" i="1"/>
  <c r="C91" i="1" s="1"/>
  <c r="F91" i="1" s="1"/>
  <c r="C85" i="1"/>
  <c r="C86" i="1" s="1"/>
  <c r="F5" i="2"/>
  <c r="C27" i="2"/>
  <c r="C45" i="1"/>
  <c r="F45" i="1" s="1"/>
  <c r="C76" i="1"/>
  <c r="C90" i="1" s="1"/>
  <c r="F90" i="1" s="1"/>
  <c r="C65" i="1"/>
  <c r="F65" i="1" s="1"/>
  <c r="C66" i="1"/>
  <c r="F66" i="1" s="1"/>
  <c r="C46" i="1"/>
  <c r="F46" i="1" s="1"/>
  <c r="C48" i="1"/>
  <c r="F48" i="1" s="1"/>
  <c r="F11" i="1"/>
  <c r="C14" i="1"/>
  <c r="C16" i="1" s="1"/>
  <c r="C80" i="1" l="1"/>
  <c r="F80" i="1" s="1"/>
  <c r="C79" i="1"/>
  <c r="F79" i="1" s="1"/>
  <c r="C81" i="1"/>
  <c r="F81" i="1" s="1"/>
  <c r="C89" i="1"/>
  <c r="F89" i="1" s="1"/>
  <c r="C88" i="1"/>
  <c r="F88" i="1" s="1"/>
  <c r="C18" i="1"/>
  <c r="C25" i="1"/>
  <c r="F25" i="1" s="1"/>
  <c r="C33" i="2"/>
  <c r="F33" i="2" s="1"/>
  <c r="L26" i="2"/>
  <c r="O26" i="2" s="1"/>
  <c r="L25" i="2"/>
  <c r="O25" i="2" s="1"/>
  <c r="L24" i="2"/>
  <c r="O24" i="2" s="1"/>
  <c r="F19" i="2"/>
  <c r="F18" i="2"/>
  <c r="F20" i="2"/>
  <c r="C32" i="2"/>
  <c r="F32" i="2" s="1"/>
  <c r="C31" i="2"/>
  <c r="F31" i="2" s="1"/>
  <c r="F38" i="1"/>
  <c r="C24" i="1" l="1"/>
  <c r="F24" i="1" s="1"/>
  <c r="C23" i="1"/>
  <c r="C44" i="1"/>
  <c r="F44" i="1" s="1"/>
  <c r="C47" i="1"/>
  <c r="F47" i="1" s="1"/>
  <c r="F23" i="1"/>
  <c r="C22" i="1"/>
  <c r="F22" i="1" s="1"/>
  <c r="G1" i="2"/>
  <c r="K22" i="1" s="1"/>
  <c r="P1" i="2"/>
  <c r="K23" i="1" s="1"/>
  <c r="C43" i="1"/>
  <c r="F43" i="1" s="1"/>
  <c r="K21" i="1" l="1"/>
  <c r="K32" i="1" l="1"/>
  <c r="K27" i="1"/>
  <c r="Q4" i="1" a="1"/>
  <c r="Q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tc={36FC05D7-7A5B-4D9B-985F-1BB92CA2AC79}</author>
  </authors>
  <commentList>
    <comment ref="C11" authorId="0" shapeId="0" xr:uid="{36FC05D7-7A5B-4D9B-985F-1BB92CA2AC79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was 16,625T - 5480 = ~11,145 - reduced to 7,500
~(150k saving)
Reply:
    16,625T - 6935 = ~9,690T remaining
March forecast to go
7500T - Feb placed (891) =6,609T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<sst xmlns="http://schemas.openxmlformats.org/spreadsheetml/2006/main" count="408" uniqueCount="177">
  <si>
    <t xml:space="preserve">item </t>
  </si>
  <si>
    <t>Contributing</t>
  </si>
  <si>
    <t>Note:</t>
  </si>
  <si>
    <t xml:space="preserve">$    </t>
  </si>
  <si>
    <t>Description</t>
  </si>
  <si>
    <t>UOM</t>
  </si>
  <si>
    <t>RATE</t>
  </si>
  <si>
    <t>TOTAL</t>
  </si>
  <si>
    <t>QTY</t>
  </si>
  <si>
    <t>Comments</t>
  </si>
  <si>
    <t>MDD</t>
  </si>
  <si>
    <t>Tonnage</t>
  </si>
  <si>
    <t>Rock Requirement (m3)</t>
  </si>
  <si>
    <t xml:space="preserve">1:7 - 8m wide, 1:1 batters </t>
  </si>
  <si>
    <t>Water Estimate</t>
  </si>
  <si>
    <t>Diversion Estimate</t>
  </si>
  <si>
    <t>Crane Access (11m wide)</t>
  </si>
  <si>
    <t>Rock Material Requirement</t>
  </si>
  <si>
    <t>70/150 Mt Marrow</t>
  </si>
  <si>
    <t>T</t>
  </si>
  <si>
    <t>Placement Allowance</t>
  </si>
  <si>
    <t>14t TKR Exc</t>
  </si>
  <si>
    <t>Body Truck</t>
  </si>
  <si>
    <t>CW2 Labour Spotter</t>
  </si>
  <si>
    <t>TKR D6 Dozer</t>
  </si>
  <si>
    <t>Total Tonnage</t>
  </si>
  <si>
    <t>Tonne/Day</t>
  </si>
  <si>
    <t>Days</t>
  </si>
  <si>
    <t>Hours</t>
  </si>
  <si>
    <t>Total Hours</t>
  </si>
  <si>
    <t>hr</t>
  </si>
  <si>
    <t>Bulk Placement</t>
  </si>
  <si>
    <t>Diversion Channel</t>
  </si>
  <si>
    <t>Blackmax</t>
  </si>
  <si>
    <t>250t/day trim and shape</t>
  </si>
  <si>
    <t>LS</t>
  </si>
  <si>
    <t>Shotcrete</t>
  </si>
  <si>
    <t>Length</t>
  </si>
  <si>
    <t>Width</t>
  </si>
  <si>
    <t>Height</t>
  </si>
  <si>
    <t>150mm thick (m3)</t>
  </si>
  <si>
    <t>Diversion</t>
  </si>
  <si>
    <t>(m2)</t>
  </si>
  <si>
    <t>m3</t>
  </si>
  <si>
    <t>Shotcrete Pump</t>
  </si>
  <si>
    <t>Abrasive mix</t>
  </si>
  <si>
    <t>Compressor</t>
  </si>
  <si>
    <t>Labour (Niepe) - CW5</t>
  </si>
  <si>
    <t>Boral</t>
  </si>
  <si>
    <t>Concete N20</t>
  </si>
  <si>
    <t>Misc Materials</t>
  </si>
  <si>
    <t>Meales</t>
  </si>
  <si>
    <t>hours</t>
  </si>
  <si>
    <t>day</t>
  </si>
  <si>
    <t>ls</t>
  </si>
  <si>
    <t>Downstream Bund</t>
  </si>
  <si>
    <t>Additional Ramp Requirement for 11m Crane Access (need to determine from survey, assume 35% e/o 8m ramp for now</t>
  </si>
  <si>
    <t>Rock Causeway Construction</t>
  </si>
  <si>
    <t>Removal of Causeway</t>
  </si>
  <si>
    <t>Concrete (m3)</t>
  </si>
  <si>
    <t>Bulk Shifting</t>
  </si>
  <si>
    <t>Load from Stockpile</t>
  </si>
  <si>
    <t>Truck and Dog</t>
  </si>
  <si>
    <t>Concrete Waste Fee</t>
  </si>
  <si>
    <t>Rock Waste Fee</t>
  </si>
  <si>
    <t>tonne</t>
  </si>
  <si>
    <t>Assume 50% will be utilised onsite *assumption*</t>
  </si>
  <si>
    <t>Opportunity to stockpile to Seqwater yard TBA</t>
  </si>
  <si>
    <t>Worse case dump fees</t>
  </si>
  <si>
    <t>Material</t>
  </si>
  <si>
    <t>Total</t>
  </si>
  <si>
    <t>Allowance for maintainence not included</t>
  </si>
  <si>
    <t>Allowance for overtopping/scour not included</t>
  </si>
  <si>
    <t>Plug</t>
  </si>
  <si>
    <t>Abutment A Access</t>
  </si>
  <si>
    <t>Excavation</t>
  </si>
  <si>
    <t>25T Franna</t>
  </si>
  <si>
    <t>Kelly Block</t>
  </si>
  <si>
    <t>Temp Works Design</t>
  </si>
  <si>
    <t>plug</t>
  </si>
  <si>
    <t>Kelly Block Wall Install and Backfill</t>
  </si>
  <si>
    <t xml:space="preserve">CW3 Labour </t>
  </si>
  <si>
    <t>Allow 3 days</t>
  </si>
  <si>
    <t>Pile High Additional Costs</t>
  </si>
  <si>
    <t>Liner Supply</t>
  </si>
  <si>
    <t>Driving of Liner</t>
  </si>
  <si>
    <t>5 Piles</t>
  </si>
  <si>
    <t>2m High</t>
  </si>
  <si>
    <t>m</t>
  </si>
  <si>
    <t>Depth</t>
  </si>
  <si>
    <t>M3</t>
  </si>
  <si>
    <t>Type 2.1 Mt Marrow</t>
  </si>
  <si>
    <t>Placement</t>
  </si>
  <si>
    <t>Roller</t>
  </si>
  <si>
    <t>Watercart</t>
  </si>
  <si>
    <t>5T Combo</t>
  </si>
  <si>
    <t>Abutment B Access x 2 Pads</t>
  </si>
  <si>
    <t>Dewatering Pile Caps</t>
  </si>
  <si>
    <t>Line No 366
Item No 32002.01</t>
  </si>
  <si>
    <t>Allowance to Place Gravel Sump to Pile cap base prior to blinding, allowance for 5 No Pile Caps for the duration of pile cap construction</t>
  </si>
  <si>
    <t>Calcs</t>
  </si>
  <si>
    <t>EE formula - =(Allow 5 weeks) Duration</t>
  </si>
  <si>
    <t>Materials</t>
  </si>
  <si>
    <t>EE formula - =(5 No Pile Caps * (8.5m*6.8m*0.200mthk*1.8[#MDD_BEDDING])) Drainage Layer</t>
  </si>
  <si>
    <t>QUARRY AGG 20MM</t>
  </si>
  <si>
    <t>EE formula - =(5No * 0.5, long Sump Pipe * $250)</t>
  </si>
  <si>
    <t>MISC MATERIALS</t>
  </si>
  <si>
    <t>EE formula - =(5 Pile Caps * $1500) Sand Bags</t>
  </si>
  <si>
    <t xml:space="preserve">Place Gravel and Sand Bags </t>
  </si>
  <si>
    <t>EE formula - =(Allow 3hrs per pile cap * 5No)</t>
  </si>
  <si>
    <t>EE formula - =(15[#lq13])</t>
  </si>
  <si>
    <t>G-EXC 15T</t>
  </si>
  <si>
    <t xml:space="preserve">hr   </t>
  </si>
  <si>
    <t>EE formula - =(15[#lq13]*2No)</t>
  </si>
  <si>
    <t>LABOUR CW3</t>
  </si>
  <si>
    <t xml:space="preserve">mhr  </t>
  </si>
  <si>
    <t>Setup Pumps and Dewater to each pile cap</t>
  </si>
  <si>
    <t>EE formula - =(5No Pile Caps * 1hr)</t>
  </si>
  <si>
    <t>EE formula - =(5[#lq18])</t>
  </si>
  <si>
    <t>G-TELEHANDLER 10T</t>
  </si>
  <si>
    <t>EE formula - =(5[#lq18] * 2No)</t>
  </si>
  <si>
    <t>EE formula - =($200) Misc tools</t>
  </si>
  <si>
    <t>MISC TOOLS</t>
  </si>
  <si>
    <t>Runing Costs of Pumps etc</t>
  </si>
  <si>
    <t>EE formula - =(5[#lq5] * 3 Pumps * 7 days)</t>
  </si>
  <si>
    <t>G-PUMP 100MM &amp; HOSES</t>
  </si>
  <si>
    <t xml:space="preserve">day  </t>
  </si>
  <si>
    <t>EE formula - =(5[#lq5] * 3 Pumps * 7 days * 40 litres per day)</t>
  </si>
  <si>
    <t>G-DIESEL SUPPLY</t>
  </si>
  <si>
    <t>Litre</t>
  </si>
  <si>
    <t>EE formula - =st(8:25,5[#lq5])</t>
  </si>
  <si>
    <t>Rock Causeway</t>
  </si>
  <si>
    <t>Abutment A</t>
  </si>
  <si>
    <t>Abutment B</t>
  </si>
  <si>
    <t>Dewatering</t>
  </si>
  <si>
    <t>Flashboard Install</t>
  </si>
  <si>
    <t>Z Purlins</t>
  </si>
  <si>
    <t xml:space="preserve">Misc </t>
  </si>
  <si>
    <t>Atoll Logistics Quote</t>
  </si>
  <si>
    <t>Mobilisation</t>
  </si>
  <si>
    <t>Flashing Support Vessel</t>
  </si>
  <si>
    <t>Demobilisation</t>
  </si>
  <si>
    <t>Days Required</t>
  </si>
  <si>
    <t>ea</t>
  </si>
  <si>
    <t>Pontoon</t>
  </si>
  <si>
    <t>Install Labour</t>
  </si>
  <si>
    <t>Niepe</t>
  </si>
  <si>
    <t>Budget</t>
  </si>
  <si>
    <t>CWIP</t>
  </si>
  <si>
    <t>15m/3/day</t>
  </si>
  <si>
    <t>14T Exc</t>
  </si>
  <si>
    <t>Geogrid</t>
  </si>
  <si>
    <t>CW3 x 3</t>
  </si>
  <si>
    <t>2 install, 1 cutting and transporting</t>
  </si>
  <si>
    <t>no allowance for overtopping</t>
  </si>
  <si>
    <t>Plug allow 50% E/O</t>
  </si>
  <si>
    <t>Removal</t>
  </si>
  <si>
    <t>CW3 x 2</t>
  </si>
  <si>
    <t>Geofabric A29</t>
  </si>
  <si>
    <t>Edge Protection</t>
  </si>
  <si>
    <t>Type 2.3 Mt Marrow</t>
  </si>
  <si>
    <t>unknown, could be risk item here</t>
  </si>
  <si>
    <t>Safety Vessel</t>
  </si>
  <si>
    <t>Spent 10 on install with Atoll</t>
  </si>
  <si>
    <t>Jan CTC</t>
  </si>
  <si>
    <t>Risk with CTC</t>
  </si>
  <si>
    <t>January 2023 comments: Likely 11,000T to go not required, estimate 7,500t, need to check post dewatering</t>
  </si>
  <si>
    <t>Flashboards removal</t>
  </si>
  <si>
    <t>Sum</t>
  </si>
  <si>
    <t>Misc</t>
  </si>
  <si>
    <t>likely $280/m3</t>
  </si>
  <si>
    <t>qty unknown, will be changes to ramp as we dewater</t>
  </si>
  <si>
    <t>likely 30t</t>
  </si>
  <si>
    <t>incorrect qty of truck and dog required - likely 6</t>
  </si>
  <si>
    <t>Rev 3 - Feb forecast update for remaining</t>
  </si>
  <si>
    <t>30T TKR</t>
  </si>
  <si>
    <t>CW3 Labour Spotter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</si>
</sst>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#,##0.000;[Red]\-#,##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BF5B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vertical="top"/>
    </xf>
    <xf numFmtId="164" fontId="3" fillId="2" borderId="0" xfId="0" applyNumberFormat="1" applyFont="1" applyFill="1" applyAlignment="1">
      <alignment vertical="top"/>
    </xf>
    <xf numFmtId="38" fontId="3" fillId="2" borderId="0" xfId="0" applyNumberFormat="1" applyFont="1" applyFill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38" fontId="0" fillId="0" borderId="0" xfId="0" applyNumberFormat="1" applyAlignment="1">
      <alignment vertical="top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vertical="top"/>
    </xf>
    <xf numFmtId="164" fontId="0" fillId="3" borderId="0" xfId="0" applyNumberFormat="1" applyFill="1" applyAlignment="1">
      <alignment vertical="top"/>
    </xf>
    <xf numFmtId="38" fontId="0" fillId="3" borderId="0" xfId="0" applyNumberFormat="1" applyFill="1" applyAlignment="1">
      <alignment vertical="top"/>
    </xf>
    <xf numFmtId="164" fontId="3" fillId="0" borderId="1" xfId="0" applyNumberFormat="1" applyFont="1" applyBorder="1" applyAlignment="1">
      <alignment vertical="top"/>
    </xf>
    <xf numFmtId="38" fontId="3" fillId="0" borderId="1" xfId="0" applyNumberFormat="1" applyFont="1" applyBorder="1" applyAlignment="1">
      <alignment vertical="top"/>
    </xf>
    <xf numFmtId="0" fontId="3" fillId="0" borderId="0" xfId="0" applyFont="1"/>
    <xf numFmtId="44" fontId="0" fillId="0" borderId="0" xfId="1" applyFont="1"/>
    <xf numFmtId="0" fontId="3" fillId="0" borderId="0" xfId="0" applyFont="1" applyAlignment="1">
      <alignment horizontal="left"/>
    </xf>
    <xf numFmtId="44" fontId="3" fillId="0" borderId="0" xfId="1" applyFont="1" applyAlignment="1">
      <alignment horizontal="left"/>
    </xf>
    <xf numFmtId="0" fontId="0" fillId="0" borderId="0" xfId="0" applyAlignment="1">
      <alignment horizontal="left"/>
    </xf>
    <xf numFmtId="44" fontId="0" fillId="0" borderId="0" xfId="1" applyFont="1" applyAlignment="1">
      <alignment horizontal="left"/>
    </xf>
    <xf numFmtId="0" fontId="0" fillId="0" borderId="0" xfId="1" applyNumberFormat="1" applyFont="1" applyAlignment="1">
      <alignment horizontal="left"/>
    </xf>
    <xf numFmtId="0" fontId="0" fillId="4" borderId="0" xfId="0" applyFill="1" applyAlignment="1">
      <alignment horizontal="left"/>
    </xf>
    <xf numFmtId="0" fontId="3" fillId="5" borderId="0" xfId="0" applyFont="1" applyFill="1"/>
    <xf numFmtId="0" fontId="0" fillId="5" borderId="0" xfId="0" applyFill="1"/>
    <xf numFmtId="0" fontId="0" fillId="5" borderId="0" xfId="0" applyFill="1" applyAlignment="1">
      <alignment horizontal="left"/>
    </xf>
    <xf numFmtId="44" fontId="0" fillId="5" borderId="0" xfId="1" applyFont="1" applyFill="1" applyAlignment="1">
      <alignment horizontal="left"/>
    </xf>
    <xf numFmtId="44" fontId="0" fillId="5" borderId="0" xfId="1" applyFont="1" applyFill="1"/>
    <xf numFmtId="44" fontId="3" fillId="5" borderId="0" xfId="1" applyFont="1" applyFill="1"/>
    <xf numFmtId="0" fontId="0" fillId="4" borderId="0" xfId="0" applyFill="1"/>
    <xf numFmtId="44" fontId="0" fillId="0" borderId="0" xfId="0" applyNumberFormat="1"/>
    <xf numFmtId="0" fontId="3" fillId="0" borderId="0" xfId="0" applyFont="1" applyFill="1"/>
    <xf numFmtId="0" fontId="0" fillId="0" borderId="0" xfId="0" applyFill="1"/>
    <xf numFmtId="44" fontId="0" fillId="0" borderId="0" xfId="1" applyFont="1" applyFill="1"/>
    <xf numFmtId="0" fontId="0" fillId="0" borderId="0" xfId="0" applyNumberFormat="1" applyAlignment="1">
      <alignment horizontal="left"/>
    </xf>
    <xf numFmtId="0" fontId="0" fillId="6" borderId="0" xfId="0" applyFill="1"/>
    <xf numFmtId="2" fontId="0" fillId="6" borderId="0" xfId="1" applyNumberFormat="1" applyFont="1" applyFill="1" applyAlignment="1">
      <alignment horizontal="left"/>
    </xf>
    <xf numFmtId="0" fontId="0" fillId="6" borderId="0" xfId="0" applyFill="1" applyAlignment="1">
      <alignment horizontal="left"/>
    </xf>
    <xf numFmtId="44" fontId="2" fillId="0" borderId="0" xfId="0" applyNumberFormat="1" applyFont="1"/>
    <xf numFmtId="0" fontId="0" fillId="0" borderId="0" xfId="0" applyFill="1" applyAlignment="1">
      <alignment horizontal="left"/>
    </xf>
    <xf numFmtId="44" fontId="0" fillId="4" borderId="0" xfId="1" applyFont="1" applyFill="1"/>
    <xf numFmtId="0" fontId="0" fillId="7" borderId="0" xfId="0" applyFill="1" applyAlignment="1">
      <alignment horizontal="left"/>
    </xf>
    <xf numFmtId="0" fontId="0" fillId="7" borderId="0" xfId="0" applyFill="1"/>
    <xf numFmtId="44" fontId="0" fillId="7" borderId="0" xfId="1" applyFont="1" applyFill="1"/>
    <xf numFmtId="0" fontId="3" fillId="5" borderId="0" xfId="0" applyFont="1" applyFill="1" applyAlignment="1">
      <alignment horizontal="center"/>
    </xf>
    <xf numFmtId="0" fontId="3" fillId="5" borderId="0" xfId="0" applyFont="1" applyFill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32</xdr:row>
      <xdr:rowOff>85725</xdr:rowOff>
    </xdr:from>
    <xdr:to>
      <xdr:col>13</xdr:col>
      <xdr:colOff>452438</xdr:colOff>
      <xdr:row>39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D22ED12-4610-37C3-4C4E-998B2A62DAC8}"/>
            </a:ext>
          </a:extLst>
        </xdr:cNvPr>
        <xdr:cNvSpPr txBox="1"/>
      </xdr:nvSpPr>
      <xdr:spPr>
        <a:xfrm>
          <a:off x="9134475" y="5876925"/>
          <a:ext cx="4071938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/>
            <a:t>Please notes rates and cost are an example only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icholas Maher" id="{EDD7B4A5-5FF1-488B-BEE8-FDD8035C6E68}" userId="S::NICMAH1@bmd.com.au::7a83cd25-bd1b-496d-a922-f12c0521187b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1" dT="2023-02-07T06:28:34.81" personId="{EDD7B4A5-5FF1-488B-BEE8-FDD8035C6E68}" id="{36FC05D7-7A5B-4D9B-985F-1BB92CA2AC79}">
    <text>This was 16,625T - 5480 = ~11,145 - reduced to 7,500
~(150k saving)</text>
  </threadedComment>
  <threadedComment ref="C11" dT="2023-03-10T02:29:38.51" personId="{EDD7B4A5-5FF1-488B-BEE8-FDD8035C6E68}" id="{C452F05E-8667-4A4A-BD62-299F25A5D551}" parentId="{36FC05D7-7A5B-4D9B-985F-1BB92CA2AC79}">
    <text>16,625T - 6935 = ~9,690T remaining
March forecast to go
7500T - Feb placed (891) =6,609T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278DC-238C-4218-B269-33E0C7D5A3CB}">
  <dimension ref="A1:Q95"/>
  <sheetViews>
    <sheetView tabSelected="1" topLeftCell="A7" zoomScaleNormal="100" workbookViewId="0">
      <selection activeCell="I9" sqref="I9"/>
    </sheetView>
  </sheetViews>
  <sheetFormatPr defaultRowHeight="14.25" x14ac:dyDescent="0.45"/>
  <cols>
    <col min="1" max="1" width="22.53125" customWidth="1"/>
    <col min="2" max="2" width="21.46484375" customWidth="1"/>
    <col min="5" max="5" width="10.1328125" customWidth="1"/>
    <col min="6" max="6" width="14.3984375" style="16" customWidth="1"/>
    <col min="9" max="9" width="21.33203125" customWidth="1"/>
    <col min="10" max="10" width="17.19921875" customWidth="1"/>
    <col min="11" max="11" width="17.06640625" customWidth="1"/>
    <col min="15" max="15" width="13.46484375" customWidth="1"/>
    <col min="17" max="17" width="13.3984375" bestFit="1" customWidth="1"/>
  </cols>
  <sheetData>
    <row r="1" spans="1:17" x14ac:dyDescent="0.45">
      <c r="A1" t="s">
        <v>174</v>
      </c>
    </row>
    <row r="2" spans="1:17" x14ac:dyDescent="0.45">
      <c r="A2" s="44" t="s">
        <v>57</v>
      </c>
      <c r="B2" s="44"/>
      <c r="C2" s="44"/>
      <c r="D2" s="44"/>
      <c r="E2" s="44"/>
      <c r="F2" s="44"/>
      <c r="J2" s="32"/>
      <c r="P2" t="s">
        <v>147</v>
      </c>
      <c r="Q2" s="16">
        <v>1104697.55</v>
      </c>
    </row>
    <row r="3" spans="1:17" x14ac:dyDescent="0.45">
      <c r="A3" s="15" t="s">
        <v>17</v>
      </c>
      <c r="P3" t="s">
        <v>148</v>
      </c>
      <c r="Q3" s="43">
        <v>569794.37</v>
      </c>
    </row>
    <row r="4" spans="1:17" x14ac:dyDescent="0.45">
      <c r="B4" t="s">
        <v>12</v>
      </c>
      <c r="C4" t="s">
        <v>10</v>
      </c>
      <c r="D4" t="s">
        <v>11</v>
      </c>
      <c r="Q4" s="38" cm="1">
        <f t="array" ref="Q4">SUM((K21:K26)+Q3)-Q2</f>
        <v>3364222.3963214289</v>
      </c>
    </row>
    <row r="5" spans="1:17" x14ac:dyDescent="0.45">
      <c r="A5" t="s">
        <v>13</v>
      </c>
      <c r="B5">
        <v>5100</v>
      </c>
      <c r="C5">
        <v>2.5</v>
      </c>
      <c r="D5">
        <f>B5*C5</f>
        <v>12750</v>
      </c>
    </row>
    <row r="6" spans="1:17" x14ac:dyDescent="0.45">
      <c r="A6" t="s">
        <v>14</v>
      </c>
      <c r="B6">
        <v>1000</v>
      </c>
      <c r="C6">
        <v>2.5</v>
      </c>
      <c r="D6">
        <f>B6*C6</f>
        <v>2500</v>
      </c>
    </row>
    <row r="7" spans="1:17" x14ac:dyDescent="0.45">
      <c r="A7" t="s">
        <v>15</v>
      </c>
      <c r="B7">
        <f>50*5.5*2</f>
        <v>550</v>
      </c>
      <c r="C7">
        <v>2.5</v>
      </c>
      <c r="D7">
        <f>B7*C7</f>
        <v>1375</v>
      </c>
    </row>
    <row r="8" spans="1:17" x14ac:dyDescent="0.45">
      <c r="A8" t="s">
        <v>16</v>
      </c>
      <c r="C8">
        <v>2.5</v>
      </c>
      <c r="D8">
        <f>B8*C8</f>
        <v>0</v>
      </c>
    </row>
    <row r="10" spans="1:17" x14ac:dyDescent="0.45">
      <c r="A10" s="15" t="s">
        <v>9</v>
      </c>
      <c r="B10" s="15" t="s">
        <v>4</v>
      </c>
      <c r="C10" s="17" t="s">
        <v>8</v>
      </c>
      <c r="D10" s="17" t="s">
        <v>5</v>
      </c>
      <c r="E10" s="17" t="s">
        <v>6</v>
      </c>
      <c r="F10" s="18" t="s">
        <v>7</v>
      </c>
    </row>
    <row r="11" spans="1:17" x14ac:dyDescent="0.45">
      <c r="B11" t="s">
        <v>18</v>
      </c>
      <c r="C11" s="22">
        <v>6609</v>
      </c>
      <c r="D11" s="19" t="s">
        <v>19</v>
      </c>
      <c r="E11" s="39">
        <v>35</v>
      </c>
      <c r="F11" s="20">
        <f>E11*C11</f>
        <v>231315</v>
      </c>
    </row>
    <row r="12" spans="1:17" x14ac:dyDescent="0.45">
      <c r="B12" t="s">
        <v>160</v>
      </c>
      <c r="C12" s="19">
        <f>(150*10*0.3)*2.3*1.2</f>
        <v>1242</v>
      </c>
      <c r="D12" s="19" t="s">
        <v>19</v>
      </c>
      <c r="E12" s="39">
        <v>25</v>
      </c>
      <c r="F12" s="20"/>
    </row>
    <row r="13" spans="1:17" x14ac:dyDescent="0.45">
      <c r="A13" s="23" t="s">
        <v>20</v>
      </c>
      <c r="B13" s="24"/>
      <c r="C13" s="25"/>
      <c r="D13" s="25"/>
      <c r="E13" s="25"/>
      <c r="F13" s="26"/>
    </row>
    <row r="14" spans="1:17" x14ac:dyDescent="0.45">
      <c r="B14" t="s">
        <v>25</v>
      </c>
      <c r="C14" s="19">
        <f>C11</f>
        <v>6609</v>
      </c>
      <c r="D14" s="19"/>
      <c r="E14" s="19"/>
      <c r="F14" s="20"/>
    </row>
    <row r="15" spans="1:17" x14ac:dyDescent="0.45">
      <c r="B15" t="s">
        <v>26</v>
      </c>
      <c r="C15" s="19">
        <v>500</v>
      </c>
      <c r="D15" s="19"/>
      <c r="E15" s="19"/>
      <c r="F15" s="20"/>
    </row>
    <row r="16" spans="1:17" x14ac:dyDescent="0.45">
      <c r="B16" t="s">
        <v>27</v>
      </c>
      <c r="C16" s="19">
        <f>C14/C15</f>
        <v>13.218</v>
      </c>
      <c r="D16" s="19"/>
      <c r="E16" s="19"/>
      <c r="F16" s="20"/>
    </row>
    <row r="17" spans="1:13" x14ac:dyDescent="0.45">
      <c r="B17" t="s">
        <v>28</v>
      </c>
      <c r="C17" s="19">
        <v>11.5</v>
      </c>
      <c r="D17" s="19"/>
      <c r="E17" s="19"/>
      <c r="F17" s="20"/>
    </row>
    <row r="18" spans="1:13" x14ac:dyDescent="0.45">
      <c r="B18" t="s">
        <v>29</v>
      </c>
      <c r="C18" s="19">
        <f>C16*C17</f>
        <v>152.00700000000001</v>
      </c>
      <c r="D18" s="19"/>
      <c r="E18" s="19"/>
      <c r="F18" s="20"/>
    </row>
    <row r="19" spans="1:13" x14ac:dyDescent="0.45">
      <c r="J19" t="s">
        <v>166</v>
      </c>
    </row>
    <row r="20" spans="1:13" x14ac:dyDescent="0.45">
      <c r="A20" s="23" t="s">
        <v>31</v>
      </c>
      <c r="B20" s="24"/>
      <c r="C20" s="24"/>
      <c r="D20" s="24"/>
      <c r="E20" s="24"/>
      <c r="F20" s="27"/>
    </row>
    <row r="21" spans="1:13" x14ac:dyDescent="0.45">
      <c r="B21" s="15" t="s">
        <v>4</v>
      </c>
      <c r="C21" s="17" t="s">
        <v>8</v>
      </c>
      <c r="D21" s="17" t="s">
        <v>5</v>
      </c>
      <c r="E21" s="17" t="s">
        <v>6</v>
      </c>
      <c r="F21" s="18" t="s">
        <v>7</v>
      </c>
      <c r="J21" t="s">
        <v>70</v>
      </c>
      <c r="K21" s="30">
        <f>F11+F22+F23+F24+F25+F29+F30+F31+F32+F43+F44+F45+F46+F47+F48+F49+F54+F65+F66+F67+F79+F80+F81+F88+F89+F90+F94+F95+F12</f>
        <v>860777.10124999995</v>
      </c>
      <c r="M21" t="s">
        <v>131</v>
      </c>
    </row>
    <row r="22" spans="1:13" x14ac:dyDescent="0.45">
      <c r="B22" s="42" t="s">
        <v>175</v>
      </c>
      <c r="C22" s="19">
        <f>$C$18</f>
        <v>152.00700000000001</v>
      </c>
      <c r="D22" s="19" t="s">
        <v>30</v>
      </c>
      <c r="E22" s="41">
        <v>150</v>
      </c>
      <c r="F22" s="20">
        <f>C22*E22</f>
        <v>22801.05</v>
      </c>
      <c r="K22" s="30">
        <f>'Abutment Piling Pads'!G1</f>
        <v>78545.33142857143</v>
      </c>
      <c r="M22" t="s">
        <v>132</v>
      </c>
    </row>
    <row r="23" spans="1:13" x14ac:dyDescent="0.45">
      <c r="B23" t="s">
        <v>22</v>
      </c>
      <c r="C23" s="19">
        <f>$C$18*0.5</f>
        <v>76.003500000000003</v>
      </c>
      <c r="D23" s="19" t="s">
        <v>30</v>
      </c>
      <c r="E23" s="19">
        <v>120</v>
      </c>
      <c r="F23" s="20">
        <f t="shared" ref="F23:F25" si="0">C23*E23</f>
        <v>9120.42</v>
      </c>
      <c r="K23" s="30">
        <f>'Abutment Piling Pads'!P1</f>
        <v>24157.857142857141</v>
      </c>
      <c r="M23" t="s">
        <v>133</v>
      </c>
    </row>
    <row r="24" spans="1:13" x14ac:dyDescent="0.45">
      <c r="B24" t="s">
        <v>176</v>
      </c>
      <c r="C24" s="19">
        <f t="shared" ref="C24" si="1">$C$18</f>
        <v>152.00700000000001</v>
      </c>
      <c r="D24" s="19" t="s">
        <v>30</v>
      </c>
      <c r="E24" s="41">
        <v>50</v>
      </c>
      <c r="F24" s="20">
        <f t="shared" si="0"/>
        <v>7600.35</v>
      </c>
      <c r="K24" s="16">
        <f>'Dewatering Pile Caps DJC'!M33</f>
        <v>68423.436499999996</v>
      </c>
      <c r="M24" t="s">
        <v>134</v>
      </c>
    </row>
    <row r="25" spans="1:13" x14ac:dyDescent="0.45">
      <c r="B25" t="s">
        <v>24</v>
      </c>
      <c r="C25" s="19">
        <f>C16*10</f>
        <v>132.18</v>
      </c>
      <c r="D25" s="19" t="s">
        <v>30</v>
      </c>
      <c r="E25" s="41"/>
      <c r="F25" s="20">
        <f t="shared" si="0"/>
        <v>0</v>
      </c>
      <c r="K25" s="30">
        <f>Flashboards!G1</f>
        <v>18250</v>
      </c>
      <c r="M25" t="s">
        <v>167</v>
      </c>
    </row>
    <row r="26" spans="1:13" x14ac:dyDescent="0.45">
      <c r="C26" s="19"/>
      <c r="D26" s="19"/>
      <c r="E26" s="19"/>
      <c r="F26" s="20"/>
      <c r="K26" s="16"/>
      <c r="M26" t="s">
        <v>169</v>
      </c>
    </row>
    <row r="27" spans="1:13" x14ac:dyDescent="0.45">
      <c r="A27" s="23" t="s">
        <v>32</v>
      </c>
      <c r="B27" s="24"/>
      <c r="C27" s="24"/>
      <c r="D27" s="24"/>
      <c r="E27" s="24"/>
      <c r="F27" s="27"/>
      <c r="K27" s="30">
        <f>SUM(K21:K26)</f>
        <v>1050153.7263214285</v>
      </c>
      <c r="M27" t="s">
        <v>168</v>
      </c>
    </row>
    <row r="28" spans="1:13" x14ac:dyDescent="0.45">
      <c r="A28" s="15"/>
      <c r="B28" s="15" t="s">
        <v>4</v>
      </c>
      <c r="C28" s="17" t="s">
        <v>8</v>
      </c>
      <c r="D28" s="17" t="s">
        <v>5</v>
      </c>
      <c r="E28" s="17" t="s">
        <v>6</v>
      </c>
      <c r="F28" s="18" t="s">
        <v>7</v>
      </c>
    </row>
    <row r="29" spans="1:13" x14ac:dyDescent="0.45">
      <c r="A29" t="s">
        <v>34</v>
      </c>
      <c r="B29" t="s">
        <v>21</v>
      </c>
      <c r="C29" s="41">
        <v>100</v>
      </c>
      <c r="D29" s="19" t="s">
        <v>30</v>
      </c>
      <c r="E29" s="19">
        <v>110</v>
      </c>
      <c r="F29" s="20">
        <f>E29*C29</f>
        <v>11000</v>
      </c>
      <c r="J29" t="s">
        <v>164</v>
      </c>
      <c r="K29" s="16">
        <v>750000</v>
      </c>
    </row>
    <row r="30" spans="1:13" x14ac:dyDescent="0.45">
      <c r="B30" t="s">
        <v>22</v>
      </c>
      <c r="C30" s="19"/>
      <c r="D30" s="19" t="s">
        <v>30</v>
      </c>
      <c r="E30" s="19">
        <v>110</v>
      </c>
      <c r="F30" s="20">
        <f t="shared" ref="F30:F32" si="2">E30*C30</f>
        <v>0</v>
      </c>
    </row>
    <row r="31" spans="1:13" x14ac:dyDescent="0.45">
      <c r="B31" t="s">
        <v>23</v>
      </c>
      <c r="C31" s="19">
        <f>($D$7/250)*11.5</f>
        <v>63.25</v>
      </c>
      <c r="D31" s="19" t="s">
        <v>30</v>
      </c>
      <c r="E31" s="19">
        <v>40</v>
      </c>
      <c r="F31" s="20">
        <f t="shared" si="2"/>
        <v>2530</v>
      </c>
    </row>
    <row r="32" spans="1:13" x14ac:dyDescent="0.45">
      <c r="B32" t="s">
        <v>33</v>
      </c>
      <c r="C32" s="19">
        <v>1</v>
      </c>
      <c r="D32" s="19" t="s">
        <v>35</v>
      </c>
      <c r="E32" s="19">
        <v>6399</v>
      </c>
      <c r="F32" s="20">
        <f t="shared" si="2"/>
        <v>6399</v>
      </c>
      <c r="J32" t="s">
        <v>165</v>
      </c>
      <c r="K32" s="30">
        <f>K29-SUM(K21:K26)</f>
        <v>-300153.72632142855</v>
      </c>
    </row>
    <row r="33" spans="1:9" x14ac:dyDescent="0.45">
      <c r="C33" s="19"/>
      <c r="D33" s="19"/>
      <c r="E33" s="19"/>
      <c r="F33" s="20"/>
    </row>
    <row r="34" spans="1:9" x14ac:dyDescent="0.45">
      <c r="A34" s="23" t="s">
        <v>36</v>
      </c>
      <c r="B34" s="24"/>
      <c r="C34" s="24"/>
      <c r="D34" s="24"/>
      <c r="E34" s="24"/>
      <c r="F34" s="26"/>
    </row>
    <row r="35" spans="1:9" x14ac:dyDescent="0.45">
      <c r="A35" s="15"/>
      <c r="C35" s="19" t="s">
        <v>41</v>
      </c>
      <c r="D35" s="19" t="s">
        <v>55</v>
      </c>
      <c r="E35" s="19"/>
      <c r="F35" s="20"/>
    </row>
    <row r="36" spans="1:9" x14ac:dyDescent="0.45">
      <c r="B36" t="s">
        <v>37</v>
      </c>
      <c r="C36" s="37">
        <v>50</v>
      </c>
      <c r="D36" s="37">
        <v>40</v>
      </c>
      <c r="E36" s="19" t="s">
        <v>149</v>
      </c>
      <c r="F36" s="19">
        <f>C40/15</f>
        <v>4.8</v>
      </c>
    </row>
    <row r="37" spans="1:9" x14ac:dyDescent="0.45">
      <c r="B37" t="s">
        <v>39</v>
      </c>
      <c r="C37" s="37">
        <v>3</v>
      </c>
      <c r="D37" s="37">
        <v>4.5</v>
      </c>
      <c r="E37" s="19" t="s">
        <v>52</v>
      </c>
      <c r="F37" s="19">
        <v>11.5</v>
      </c>
    </row>
    <row r="38" spans="1:9" x14ac:dyDescent="0.45">
      <c r="B38" t="s">
        <v>42</v>
      </c>
      <c r="C38" s="19">
        <f>C36*C37*2</f>
        <v>300</v>
      </c>
      <c r="D38" s="19">
        <f>D36*D37</f>
        <v>180</v>
      </c>
      <c r="E38" s="19" t="s">
        <v>29</v>
      </c>
      <c r="F38" s="19">
        <f>F36*F37</f>
        <v>55.199999999999996</v>
      </c>
    </row>
    <row r="39" spans="1:9" x14ac:dyDescent="0.45">
      <c r="B39" t="s">
        <v>40</v>
      </c>
      <c r="C39" s="19">
        <f>C38*0.15</f>
        <v>45</v>
      </c>
      <c r="D39" s="19">
        <f>D38*0.15</f>
        <v>27</v>
      </c>
      <c r="E39" s="19"/>
      <c r="F39" s="20"/>
    </row>
    <row r="40" spans="1:9" x14ac:dyDescent="0.45">
      <c r="B40" t="s">
        <v>43</v>
      </c>
      <c r="C40" s="19">
        <f>C39+D39</f>
        <v>72</v>
      </c>
      <c r="D40" s="19"/>
      <c r="E40" s="19"/>
      <c r="F40" s="20"/>
    </row>
    <row r="41" spans="1:9" x14ac:dyDescent="0.45">
      <c r="C41" s="19"/>
      <c r="D41" s="19"/>
      <c r="E41" s="19"/>
      <c r="F41" s="20"/>
    </row>
    <row r="42" spans="1:9" x14ac:dyDescent="0.45">
      <c r="B42" s="15" t="s">
        <v>4</v>
      </c>
      <c r="C42" s="17" t="s">
        <v>8</v>
      </c>
      <c r="D42" s="17" t="s">
        <v>5</v>
      </c>
      <c r="E42" s="17" t="s">
        <v>6</v>
      </c>
      <c r="F42" s="18" t="s">
        <v>7</v>
      </c>
    </row>
    <row r="43" spans="1:9" x14ac:dyDescent="0.45">
      <c r="A43" t="s">
        <v>51</v>
      </c>
      <c r="B43" t="s">
        <v>44</v>
      </c>
      <c r="C43">
        <f>F38</f>
        <v>55.199999999999996</v>
      </c>
      <c r="D43" t="s">
        <v>30</v>
      </c>
      <c r="E43">
        <v>150</v>
      </c>
      <c r="F43" s="16">
        <f>C43*E43</f>
        <v>8280</v>
      </c>
    </row>
    <row r="44" spans="1:9" x14ac:dyDescent="0.45">
      <c r="A44" t="s">
        <v>51</v>
      </c>
      <c r="B44" t="s">
        <v>45</v>
      </c>
      <c r="C44">
        <f>F38</f>
        <v>55.199999999999996</v>
      </c>
      <c r="D44" t="s">
        <v>30</v>
      </c>
      <c r="E44">
        <v>10</v>
      </c>
      <c r="F44" s="16">
        <f t="shared" ref="F44:F49" si="3">C44*E44</f>
        <v>552</v>
      </c>
    </row>
    <row r="45" spans="1:9" x14ac:dyDescent="0.45">
      <c r="A45" t="s">
        <v>51</v>
      </c>
      <c r="B45" t="s">
        <v>45</v>
      </c>
      <c r="C45">
        <f>C40</f>
        <v>72</v>
      </c>
      <c r="D45" t="s">
        <v>43</v>
      </c>
      <c r="E45">
        <v>10</v>
      </c>
      <c r="F45" s="16">
        <f t="shared" si="3"/>
        <v>720</v>
      </c>
    </row>
    <row r="46" spans="1:9" x14ac:dyDescent="0.45">
      <c r="A46" t="s">
        <v>51</v>
      </c>
      <c r="B46" t="s">
        <v>46</v>
      </c>
      <c r="C46">
        <f>ROUNDUP(F36,0)</f>
        <v>5</v>
      </c>
      <c r="D46" t="s">
        <v>53</v>
      </c>
      <c r="E46">
        <v>250</v>
      </c>
      <c r="F46" s="16">
        <f t="shared" si="3"/>
        <v>1250</v>
      </c>
    </row>
    <row r="47" spans="1:9" x14ac:dyDescent="0.45">
      <c r="A47" s="19">
        <v>3</v>
      </c>
      <c r="B47" t="s">
        <v>47</v>
      </c>
      <c r="C47">
        <f>F38*A47</f>
        <v>165.6</v>
      </c>
      <c r="D47" t="s">
        <v>30</v>
      </c>
      <c r="E47">
        <v>65</v>
      </c>
      <c r="F47" s="16">
        <f t="shared" si="3"/>
        <v>10764</v>
      </c>
    </row>
    <row r="48" spans="1:9" x14ac:dyDescent="0.45">
      <c r="A48" t="s">
        <v>48</v>
      </c>
      <c r="B48" t="s">
        <v>49</v>
      </c>
      <c r="C48">
        <f>C40</f>
        <v>72</v>
      </c>
      <c r="D48" t="s">
        <v>43</v>
      </c>
      <c r="E48" s="42">
        <v>250</v>
      </c>
      <c r="F48" s="40">
        <f t="shared" si="3"/>
        <v>18000</v>
      </c>
      <c r="I48" t="s">
        <v>170</v>
      </c>
    </row>
    <row r="49" spans="1:9" x14ac:dyDescent="0.45">
      <c r="B49" t="s">
        <v>50</v>
      </c>
      <c r="D49" t="s">
        <v>54</v>
      </c>
      <c r="F49" s="16">
        <f t="shared" si="3"/>
        <v>0</v>
      </c>
    </row>
    <row r="51" spans="1:9" x14ac:dyDescent="0.45">
      <c r="A51" s="23" t="s">
        <v>56</v>
      </c>
      <c r="B51" s="24"/>
      <c r="C51" s="24"/>
      <c r="D51" s="24"/>
      <c r="E51" s="24"/>
      <c r="F51" s="24"/>
    </row>
    <row r="52" spans="1:9" x14ac:dyDescent="0.45">
      <c r="F52"/>
    </row>
    <row r="53" spans="1:9" x14ac:dyDescent="0.45">
      <c r="A53" s="15" t="s">
        <v>9</v>
      </c>
      <c r="B53" s="15" t="s">
        <v>4</v>
      </c>
      <c r="C53" s="17" t="s">
        <v>8</v>
      </c>
      <c r="D53" s="17" t="s">
        <v>5</v>
      </c>
      <c r="E53" s="17" t="s">
        <v>6</v>
      </c>
      <c r="F53" s="18" t="s">
        <v>7</v>
      </c>
    </row>
    <row r="54" spans="1:9" x14ac:dyDescent="0.45">
      <c r="B54" t="s">
        <v>18</v>
      </c>
      <c r="C54" s="22">
        <f>D5*0.35</f>
        <v>4462.5</v>
      </c>
      <c r="D54" s="19" t="s">
        <v>19</v>
      </c>
      <c r="E54" s="19">
        <v>35</v>
      </c>
      <c r="F54" s="20">
        <f>E54*C54</f>
        <v>156187.5</v>
      </c>
      <c r="I54" t="s">
        <v>171</v>
      </c>
    </row>
    <row r="55" spans="1:9" x14ac:dyDescent="0.45">
      <c r="C55" s="19"/>
      <c r="D55" s="19"/>
      <c r="E55" s="19"/>
      <c r="F55" s="20"/>
    </row>
    <row r="56" spans="1:9" x14ac:dyDescent="0.45">
      <c r="A56" s="15" t="s">
        <v>20</v>
      </c>
      <c r="C56" s="19"/>
      <c r="D56" s="19"/>
      <c r="E56" s="19"/>
      <c r="F56" s="20"/>
    </row>
    <row r="57" spans="1:9" x14ac:dyDescent="0.45">
      <c r="B57" t="s">
        <v>25</v>
      </c>
      <c r="C57" s="19">
        <f>C54</f>
        <v>4462.5</v>
      </c>
      <c r="D57" s="19"/>
      <c r="E57" s="19"/>
      <c r="F57" s="20"/>
    </row>
    <row r="58" spans="1:9" x14ac:dyDescent="0.45">
      <c r="B58" t="s">
        <v>26</v>
      </c>
      <c r="C58" s="19">
        <v>500</v>
      </c>
      <c r="D58" s="19"/>
      <c r="E58" s="19"/>
      <c r="F58" s="20"/>
    </row>
    <row r="59" spans="1:9" x14ac:dyDescent="0.45">
      <c r="B59" t="s">
        <v>27</v>
      </c>
      <c r="C59" s="19">
        <f>C57/C58</f>
        <v>8.9250000000000007</v>
      </c>
      <c r="D59" s="19"/>
      <c r="E59" s="19"/>
      <c r="F59" s="20"/>
    </row>
    <row r="60" spans="1:9" x14ac:dyDescent="0.45">
      <c r="B60" t="s">
        <v>28</v>
      </c>
      <c r="C60" s="19">
        <v>11.5</v>
      </c>
      <c r="D60" s="19"/>
      <c r="E60" s="19"/>
      <c r="F60" s="20"/>
    </row>
    <row r="61" spans="1:9" x14ac:dyDescent="0.45">
      <c r="B61" t="s">
        <v>29</v>
      </c>
      <c r="C61" s="19">
        <f>C59*C60</f>
        <v>102.6375</v>
      </c>
      <c r="D61" s="19"/>
      <c r="E61" s="19"/>
      <c r="F61" s="20"/>
    </row>
    <row r="63" spans="1:9" x14ac:dyDescent="0.45">
      <c r="A63" s="15" t="s">
        <v>31</v>
      </c>
    </row>
    <row r="64" spans="1:9" x14ac:dyDescent="0.45">
      <c r="B64" s="15" t="s">
        <v>4</v>
      </c>
      <c r="C64" s="17" t="s">
        <v>8</v>
      </c>
      <c r="D64" s="17" t="s">
        <v>5</v>
      </c>
      <c r="E64" s="17" t="s">
        <v>6</v>
      </c>
      <c r="F64" s="18" t="s">
        <v>7</v>
      </c>
    </row>
    <row r="65" spans="1:9" x14ac:dyDescent="0.45">
      <c r="B65" t="s">
        <v>21</v>
      </c>
      <c r="C65" s="19">
        <f>$C$61</f>
        <v>102.6375</v>
      </c>
      <c r="D65" s="19" t="s">
        <v>30</v>
      </c>
      <c r="E65" s="19">
        <v>120</v>
      </c>
      <c r="F65" s="20">
        <f>C65*E65</f>
        <v>12316.5</v>
      </c>
    </row>
    <row r="66" spans="1:9" x14ac:dyDescent="0.45">
      <c r="B66" t="s">
        <v>22</v>
      </c>
      <c r="C66" s="19">
        <f>$C$61</f>
        <v>102.6375</v>
      </c>
      <c r="D66" s="19" t="s">
        <v>30</v>
      </c>
      <c r="E66" s="19">
        <v>110</v>
      </c>
      <c r="F66" s="20">
        <f t="shared" ref="F66:F67" si="4">C66*E66</f>
        <v>11290.125</v>
      </c>
    </row>
    <row r="67" spans="1:9" x14ac:dyDescent="0.45">
      <c r="B67" t="s">
        <v>23</v>
      </c>
      <c r="C67" s="19">
        <f>$C$61</f>
        <v>102.6375</v>
      </c>
      <c r="D67" s="19" t="s">
        <v>30</v>
      </c>
      <c r="E67" s="19">
        <v>45</v>
      </c>
      <c r="F67" s="20">
        <f t="shared" si="4"/>
        <v>4618.6875</v>
      </c>
    </row>
    <row r="69" spans="1:9" x14ac:dyDescent="0.45">
      <c r="A69" s="23" t="s">
        <v>58</v>
      </c>
      <c r="B69" s="23"/>
      <c r="C69" s="23"/>
      <c r="D69" s="23"/>
      <c r="E69" s="23"/>
      <c r="F69" s="28"/>
    </row>
    <row r="71" spans="1:9" x14ac:dyDescent="0.45">
      <c r="B71" t="s">
        <v>25</v>
      </c>
      <c r="C71">
        <f>D5+D6+D7+C54</f>
        <v>21087.5</v>
      </c>
    </row>
    <row r="72" spans="1:9" x14ac:dyDescent="0.45">
      <c r="B72" t="s">
        <v>26</v>
      </c>
      <c r="C72">
        <v>1000</v>
      </c>
    </row>
    <row r="73" spans="1:9" x14ac:dyDescent="0.45">
      <c r="B73" t="s">
        <v>27</v>
      </c>
      <c r="C73">
        <f>C71/C72</f>
        <v>21.087499999999999</v>
      </c>
    </row>
    <row r="74" spans="1:9" x14ac:dyDescent="0.45">
      <c r="B74" t="s">
        <v>28</v>
      </c>
      <c r="C74">
        <v>11.5</v>
      </c>
    </row>
    <row r="75" spans="1:9" x14ac:dyDescent="0.45">
      <c r="B75" t="s">
        <v>29</v>
      </c>
      <c r="C75">
        <f>C73*C74</f>
        <v>242.50624999999999</v>
      </c>
    </row>
    <row r="76" spans="1:9" x14ac:dyDescent="0.45">
      <c r="B76" t="s">
        <v>59</v>
      </c>
      <c r="C76">
        <f>C40</f>
        <v>72</v>
      </c>
    </row>
    <row r="78" spans="1:9" x14ac:dyDescent="0.45">
      <c r="A78" s="15" t="s">
        <v>60</v>
      </c>
      <c r="B78" s="15" t="s">
        <v>4</v>
      </c>
      <c r="C78" s="17" t="s">
        <v>8</v>
      </c>
      <c r="D78" s="17" t="s">
        <v>5</v>
      </c>
      <c r="E78" s="17" t="s">
        <v>6</v>
      </c>
      <c r="F78" s="18" t="s">
        <v>7</v>
      </c>
    </row>
    <row r="79" spans="1:9" x14ac:dyDescent="0.45">
      <c r="B79" t="s">
        <v>21</v>
      </c>
      <c r="C79" s="19">
        <f>$C$75</f>
        <v>242.50624999999999</v>
      </c>
      <c r="D79" s="19" t="s">
        <v>30</v>
      </c>
      <c r="E79" s="22">
        <v>120</v>
      </c>
      <c r="F79" s="16">
        <f>E79*C79</f>
        <v>29100.75</v>
      </c>
      <c r="I79" s="29" t="s">
        <v>172</v>
      </c>
    </row>
    <row r="80" spans="1:9" x14ac:dyDescent="0.45">
      <c r="B80" t="s">
        <v>22</v>
      </c>
      <c r="C80" s="19">
        <f t="shared" ref="C80:C81" si="5">$C$75</f>
        <v>242.50624999999999</v>
      </c>
      <c r="D80" s="19" t="s">
        <v>30</v>
      </c>
      <c r="E80" s="19">
        <v>110</v>
      </c>
      <c r="F80" s="16">
        <f t="shared" ref="F80:F81" si="6">E80*C80</f>
        <v>26675.6875</v>
      </c>
    </row>
    <row r="81" spans="1:10" x14ac:dyDescent="0.45">
      <c r="B81" t="s">
        <v>23</v>
      </c>
      <c r="C81" s="19">
        <f t="shared" si="5"/>
        <v>242.50624999999999</v>
      </c>
      <c r="D81" s="19" t="s">
        <v>30</v>
      </c>
      <c r="E81" s="19">
        <v>45</v>
      </c>
      <c r="F81" s="16">
        <f t="shared" si="6"/>
        <v>10912.78125</v>
      </c>
    </row>
    <row r="83" spans="1:10" x14ac:dyDescent="0.45">
      <c r="A83" s="15" t="s">
        <v>61</v>
      </c>
      <c r="B83" t="s">
        <v>11</v>
      </c>
      <c r="C83">
        <f>C71*0.5</f>
        <v>10543.75</v>
      </c>
      <c r="G83" t="s">
        <v>66</v>
      </c>
    </row>
    <row r="84" spans="1:10" x14ac:dyDescent="0.45">
      <c r="B84" t="s">
        <v>26</v>
      </c>
      <c r="C84">
        <v>1500</v>
      </c>
      <c r="G84" t="s">
        <v>67</v>
      </c>
    </row>
    <row r="85" spans="1:10" x14ac:dyDescent="0.45">
      <c r="B85" t="s">
        <v>27</v>
      </c>
      <c r="C85">
        <f>C71/C84</f>
        <v>14.058333333333334</v>
      </c>
      <c r="G85" t="s">
        <v>68</v>
      </c>
    </row>
    <row r="86" spans="1:10" x14ac:dyDescent="0.45">
      <c r="B86" t="s">
        <v>29</v>
      </c>
      <c r="C86">
        <f>C85*11.5</f>
        <v>161.67083333333335</v>
      </c>
    </row>
    <row r="88" spans="1:10" x14ac:dyDescent="0.45">
      <c r="B88" t="s">
        <v>21</v>
      </c>
      <c r="C88" s="19">
        <f>$C$86</f>
        <v>161.67083333333335</v>
      </c>
      <c r="D88" s="19" t="s">
        <v>30</v>
      </c>
      <c r="E88" s="22">
        <v>120</v>
      </c>
      <c r="F88" s="16">
        <f>E88*C88</f>
        <v>19400.5</v>
      </c>
    </row>
    <row r="89" spans="1:10" x14ac:dyDescent="0.45">
      <c r="A89" s="32">
        <v>6</v>
      </c>
      <c r="B89" t="s">
        <v>62</v>
      </c>
      <c r="C89" s="19">
        <f>$C$86*A89</f>
        <v>970.02500000000009</v>
      </c>
      <c r="D89" s="19" t="s">
        <v>30</v>
      </c>
      <c r="E89" s="19">
        <v>110</v>
      </c>
      <c r="F89" s="16">
        <f t="shared" ref="F89:F91" si="7">E89*C89</f>
        <v>106702.75000000001</v>
      </c>
      <c r="I89" s="32" t="s">
        <v>173</v>
      </c>
    </row>
    <row r="90" spans="1:10" x14ac:dyDescent="0.45">
      <c r="B90" t="s">
        <v>63</v>
      </c>
      <c r="C90" s="19">
        <f>C76</f>
        <v>72</v>
      </c>
      <c r="D90" s="19" t="s">
        <v>43</v>
      </c>
      <c r="E90" s="19">
        <v>45</v>
      </c>
      <c r="F90" s="16">
        <f t="shared" si="7"/>
        <v>3240</v>
      </c>
    </row>
    <row r="91" spans="1:10" x14ac:dyDescent="0.45">
      <c r="B91" t="s">
        <v>64</v>
      </c>
      <c r="C91" s="19">
        <f>C83</f>
        <v>10543.75</v>
      </c>
      <c r="D91" s="19" t="s">
        <v>65</v>
      </c>
      <c r="E91" s="29"/>
      <c r="F91" s="16">
        <f t="shared" si="7"/>
        <v>0</v>
      </c>
      <c r="G91" t="s">
        <v>161</v>
      </c>
    </row>
    <row r="93" spans="1:10" x14ac:dyDescent="0.45">
      <c r="J93" s="16"/>
    </row>
    <row r="94" spans="1:10" x14ac:dyDescent="0.45">
      <c r="A94" s="15" t="s">
        <v>71</v>
      </c>
      <c r="F94" s="16">
        <v>50000</v>
      </c>
      <c r="G94" t="s">
        <v>73</v>
      </c>
    </row>
    <row r="95" spans="1:10" x14ac:dyDescent="0.45">
      <c r="A95" s="15" t="s">
        <v>72</v>
      </c>
      <c r="F95" s="16">
        <v>100000</v>
      </c>
      <c r="G95" t="s">
        <v>155</v>
      </c>
    </row>
  </sheetData>
  <mergeCells count="1">
    <mergeCell ref="A2:F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9CD2F-627E-441E-B47C-A095A508E0FF}">
  <dimension ref="A1:P53"/>
  <sheetViews>
    <sheetView zoomScale="90" zoomScaleNormal="90" workbookViewId="0">
      <selection activeCell="N25" sqref="N25"/>
    </sheetView>
  </sheetViews>
  <sheetFormatPr defaultRowHeight="14.25" x14ac:dyDescent="0.45"/>
  <cols>
    <col min="1" max="1" width="26.3984375" customWidth="1"/>
    <col min="2" max="2" width="28.796875" customWidth="1"/>
    <col min="6" max="6" width="11.46484375" customWidth="1"/>
    <col min="7" max="7" width="12.46484375" customWidth="1"/>
    <col min="10" max="10" width="21.46484375" customWidth="1"/>
    <col min="11" max="11" width="25.73046875" customWidth="1"/>
    <col min="15" max="15" width="11.86328125" customWidth="1"/>
    <col min="16" max="16" width="11.9296875" customWidth="1"/>
  </cols>
  <sheetData>
    <row r="1" spans="1:16" x14ac:dyDescent="0.45">
      <c r="A1" s="44" t="s">
        <v>74</v>
      </c>
      <c r="B1" s="44"/>
      <c r="C1" s="44"/>
      <c r="D1" s="44"/>
      <c r="E1" s="44"/>
      <c r="F1" s="44"/>
      <c r="G1" s="30">
        <f>F5+F18+F19+F20+F31+F32+F33+F34+F35+F41+F42+F43+F44+F45+F46+F51+F52+F53+F6+F7</f>
        <v>78545.33142857143</v>
      </c>
      <c r="J1" s="44" t="s">
        <v>96</v>
      </c>
      <c r="K1" s="44"/>
      <c r="L1" s="44"/>
      <c r="M1" s="44"/>
      <c r="N1" s="44"/>
      <c r="O1" s="44"/>
      <c r="P1" s="30">
        <f>O5+O11+O12+O13+O24+O25+O26+O27+O28</f>
        <v>24157.857142857141</v>
      </c>
    </row>
    <row r="2" spans="1:16" x14ac:dyDescent="0.45">
      <c r="A2" s="15" t="s">
        <v>69</v>
      </c>
      <c r="F2" s="16"/>
      <c r="J2" s="15" t="s">
        <v>69</v>
      </c>
      <c r="O2" s="16"/>
    </row>
    <row r="3" spans="1:16" x14ac:dyDescent="0.45">
      <c r="F3" s="16"/>
      <c r="O3" s="16"/>
    </row>
    <row r="4" spans="1:16" x14ac:dyDescent="0.45">
      <c r="B4" s="15" t="s">
        <v>4</v>
      </c>
      <c r="C4" s="17" t="s">
        <v>8</v>
      </c>
      <c r="D4" s="17" t="s">
        <v>5</v>
      </c>
      <c r="E4" s="17" t="s">
        <v>6</v>
      </c>
      <c r="F4" s="18" t="s">
        <v>7</v>
      </c>
      <c r="K4" s="15" t="s">
        <v>4</v>
      </c>
      <c r="L4" s="17" t="s">
        <v>8</v>
      </c>
      <c r="M4" s="17" t="s">
        <v>5</v>
      </c>
      <c r="N4" s="17" t="s">
        <v>6</v>
      </c>
      <c r="O4" s="18" t="s">
        <v>7</v>
      </c>
    </row>
    <row r="5" spans="1:16" x14ac:dyDescent="0.45">
      <c r="B5" t="s">
        <v>91</v>
      </c>
      <c r="C5" s="19">
        <f>C23</f>
        <v>528.99999999999989</v>
      </c>
      <c r="D5" s="19" t="s">
        <v>19</v>
      </c>
      <c r="E5" s="19">
        <v>26.44</v>
      </c>
      <c r="F5" s="20">
        <f>E5*C5</f>
        <v>13986.759999999998</v>
      </c>
      <c r="K5" t="s">
        <v>91</v>
      </c>
      <c r="L5" s="19">
        <f>L16</f>
        <v>264.49999999999994</v>
      </c>
      <c r="M5" s="19" t="s">
        <v>19</v>
      </c>
      <c r="N5" s="19">
        <v>30</v>
      </c>
      <c r="O5" s="20">
        <f>N5*L5</f>
        <v>7934.9999999999982</v>
      </c>
    </row>
    <row r="6" spans="1:16" x14ac:dyDescent="0.45">
      <c r="A6" s="15" t="s">
        <v>9</v>
      </c>
      <c r="B6" t="s">
        <v>158</v>
      </c>
      <c r="C6" s="39"/>
      <c r="D6" s="39"/>
      <c r="E6" s="39"/>
      <c r="F6" s="20"/>
      <c r="J6" s="15" t="s">
        <v>9</v>
      </c>
      <c r="L6" s="19"/>
      <c r="M6" s="19"/>
      <c r="N6" s="19"/>
      <c r="O6" s="20"/>
    </row>
    <row r="7" spans="1:16" x14ac:dyDescent="0.45">
      <c r="A7" s="15"/>
      <c r="B7" t="s">
        <v>151</v>
      </c>
      <c r="C7" s="39"/>
      <c r="D7" s="39"/>
      <c r="E7" s="39"/>
      <c r="F7" s="20"/>
      <c r="J7" s="15"/>
      <c r="L7" s="19"/>
      <c r="M7" s="19"/>
      <c r="N7" s="19"/>
      <c r="O7" s="20"/>
    </row>
    <row r="8" spans="1:16" x14ac:dyDescent="0.45">
      <c r="A8" s="23" t="s">
        <v>75</v>
      </c>
      <c r="B8" s="24"/>
      <c r="C8" s="24"/>
      <c r="D8" s="24"/>
      <c r="E8" s="24"/>
      <c r="F8" s="27"/>
      <c r="J8" s="23" t="s">
        <v>75</v>
      </c>
      <c r="K8" s="24"/>
      <c r="L8" s="24"/>
      <c r="M8" s="24"/>
      <c r="N8" s="24"/>
      <c r="O8" s="27"/>
    </row>
    <row r="9" spans="1:16" x14ac:dyDescent="0.45">
      <c r="A9" s="31"/>
      <c r="B9" s="32"/>
      <c r="C9" s="32"/>
      <c r="D9" s="32"/>
      <c r="E9" s="32"/>
      <c r="F9" s="33"/>
      <c r="J9" s="31"/>
      <c r="K9" s="32"/>
      <c r="L9" s="32"/>
      <c r="M9" s="32"/>
      <c r="N9" s="32"/>
      <c r="O9" s="33"/>
    </row>
    <row r="10" spans="1:16" x14ac:dyDescent="0.45">
      <c r="A10" s="31"/>
      <c r="B10" s="32" t="s">
        <v>37</v>
      </c>
      <c r="C10" s="35">
        <v>50</v>
      </c>
      <c r="D10" s="32"/>
      <c r="E10" s="32"/>
      <c r="F10" s="33"/>
      <c r="J10" s="31"/>
      <c r="K10" s="15" t="s">
        <v>4</v>
      </c>
      <c r="L10" s="17" t="s">
        <v>8</v>
      </c>
      <c r="M10" s="17" t="s">
        <v>5</v>
      </c>
      <c r="N10" s="17" t="s">
        <v>6</v>
      </c>
      <c r="O10" s="18" t="s">
        <v>7</v>
      </c>
    </row>
    <row r="11" spans="1:16" x14ac:dyDescent="0.45">
      <c r="A11" s="31"/>
      <c r="B11" s="32" t="s">
        <v>38</v>
      </c>
      <c r="C11" s="35">
        <v>10</v>
      </c>
      <c r="D11" s="32"/>
      <c r="E11" s="32"/>
      <c r="F11" s="33"/>
      <c r="J11" s="31"/>
      <c r="K11" t="s">
        <v>21</v>
      </c>
      <c r="L11" s="19">
        <f>$C$15</f>
        <v>24.642857142857142</v>
      </c>
      <c r="M11" s="19" t="s">
        <v>30</v>
      </c>
      <c r="N11" s="19">
        <v>130</v>
      </c>
      <c r="O11" s="20">
        <f>L11*N11</f>
        <v>3203.5714285714284</v>
      </c>
    </row>
    <row r="12" spans="1:16" x14ac:dyDescent="0.45">
      <c r="A12" s="31"/>
      <c r="B12" s="32" t="s">
        <v>89</v>
      </c>
      <c r="C12" s="35">
        <v>1.5</v>
      </c>
      <c r="D12" s="32"/>
      <c r="E12" s="32"/>
      <c r="F12" s="33"/>
      <c r="J12" s="31"/>
      <c r="K12" t="s">
        <v>22</v>
      </c>
      <c r="L12" s="19">
        <f t="shared" ref="L12:L13" si="0">$C$15</f>
        <v>24.642857142857142</v>
      </c>
      <c r="M12" s="19" t="s">
        <v>30</v>
      </c>
      <c r="N12" s="19">
        <v>120</v>
      </c>
      <c r="O12" s="20">
        <f t="shared" ref="O12:O13" si="1">L12*N12</f>
        <v>2957.1428571428569</v>
      </c>
    </row>
    <row r="13" spans="1:16" x14ac:dyDescent="0.45">
      <c r="A13" s="31"/>
      <c r="B13" s="32" t="s">
        <v>90</v>
      </c>
      <c r="C13" s="32">
        <f>C10*C11*C12</f>
        <v>750</v>
      </c>
      <c r="D13" s="32"/>
      <c r="E13" s="32"/>
      <c r="F13" s="33"/>
      <c r="J13" s="31"/>
      <c r="K13" t="s">
        <v>23</v>
      </c>
      <c r="L13" s="19">
        <f t="shared" si="0"/>
        <v>24.642857142857142</v>
      </c>
      <c r="M13" s="19" t="s">
        <v>30</v>
      </c>
      <c r="N13" s="19">
        <v>50</v>
      </c>
      <c r="O13" s="20">
        <f t="shared" si="1"/>
        <v>1232.1428571428571</v>
      </c>
    </row>
    <row r="14" spans="1:16" x14ac:dyDescent="0.45">
      <c r="A14" s="31"/>
      <c r="B14" s="32" t="s">
        <v>27</v>
      </c>
      <c r="C14" s="32">
        <f>C13/350</f>
        <v>2.1428571428571428</v>
      </c>
      <c r="D14" s="32"/>
      <c r="E14" s="32"/>
      <c r="F14" s="33"/>
      <c r="J14" s="31"/>
      <c r="K14" s="32"/>
      <c r="L14" s="32"/>
      <c r="M14" s="32"/>
      <c r="N14" s="32"/>
      <c r="O14" s="33"/>
    </row>
    <row r="15" spans="1:16" x14ac:dyDescent="0.45">
      <c r="A15" s="31"/>
      <c r="B15" s="32" t="s">
        <v>29</v>
      </c>
      <c r="C15" s="32">
        <f>C14*11.5</f>
        <v>24.642857142857142</v>
      </c>
      <c r="D15" s="32"/>
      <c r="E15" s="32"/>
      <c r="F15" s="33"/>
      <c r="J15" s="23" t="s">
        <v>20</v>
      </c>
      <c r="K15" s="24"/>
      <c r="L15" s="25"/>
      <c r="M15" s="25"/>
      <c r="N15" s="25"/>
      <c r="O15" s="26"/>
    </row>
    <row r="16" spans="1:16" x14ac:dyDescent="0.45">
      <c r="A16" s="31"/>
      <c r="B16" s="32"/>
      <c r="C16" s="32"/>
      <c r="D16" s="32"/>
      <c r="E16" s="32"/>
      <c r="F16" s="33"/>
      <c r="K16" t="s">
        <v>25</v>
      </c>
      <c r="L16" s="34">
        <f>O19*2.3*1.15</f>
        <v>264.49999999999994</v>
      </c>
      <c r="M16" s="19"/>
      <c r="N16" s="19" t="s">
        <v>37</v>
      </c>
      <c r="O16" s="36">
        <v>10</v>
      </c>
    </row>
    <row r="17" spans="1:15" x14ac:dyDescent="0.45">
      <c r="B17" s="15" t="s">
        <v>4</v>
      </c>
      <c r="C17" s="17" t="s">
        <v>8</v>
      </c>
      <c r="D17" s="17" t="s">
        <v>5</v>
      </c>
      <c r="E17" s="17" t="s">
        <v>6</v>
      </c>
      <c r="F17" s="18" t="s">
        <v>7</v>
      </c>
      <c r="K17" t="s">
        <v>26</v>
      </c>
      <c r="L17" s="19">
        <v>150</v>
      </c>
      <c r="M17" s="19"/>
      <c r="N17" s="19" t="s">
        <v>38</v>
      </c>
      <c r="O17" s="36">
        <v>10</v>
      </c>
    </row>
    <row r="18" spans="1:15" x14ac:dyDescent="0.45">
      <c r="B18" t="s">
        <v>21</v>
      </c>
      <c r="C18" s="19">
        <f>$C$15</f>
        <v>24.642857142857142</v>
      </c>
      <c r="D18" s="19" t="s">
        <v>30</v>
      </c>
      <c r="E18" s="19">
        <v>120</v>
      </c>
      <c r="F18" s="20">
        <f>C18*E18</f>
        <v>2957.1428571428569</v>
      </c>
      <c r="K18" t="s">
        <v>27</v>
      </c>
      <c r="L18" s="19">
        <v>2</v>
      </c>
      <c r="M18" s="19"/>
      <c r="N18" s="19" t="s">
        <v>89</v>
      </c>
      <c r="O18" s="36">
        <v>0.5</v>
      </c>
    </row>
    <row r="19" spans="1:15" x14ac:dyDescent="0.45">
      <c r="B19" t="s">
        <v>22</v>
      </c>
      <c r="C19" s="19">
        <f t="shared" ref="C19:C20" si="2">$C$15</f>
        <v>24.642857142857142</v>
      </c>
      <c r="D19" s="19" t="s">
        <v>30</v>
      </c>
      <c r="E19" s="19">
        <v>110</v>
      </c>
      <c r="F19" s="20">
        <f t="shared" ref="F19:F20" si="3">C19*E19</f>
        <v>2710.7142857142858</v>
      </c>
      <c r="K19" t="s">
        <v>28</v>
      </c>
      <c r="L19" s="19">
        <v>11.5</v>
      </c>
      <c r="M19" s="19"/>
      <c r="N19" s="19" t="s">
        <v>43</v>
      </c>
      <c r="O19" s="21">
        <f>(O16*O17*O18)*2</f>
        <v>100</v>
      </c>
    </row>
    <row r="20" spans="1:15" x14ac:dyDescent="0.45">
      <c r="B20" t="s">
        <v>23</v>
      </c>
      <c r="C20" s="19">
        <f t="shared" si="2"/>
        <v>24.642857142857142</v>
      </c>
      <c r="D20" s="19" t="s">
        <v>30</v>
      </c>
      <c r="E20" s="19">
        <v>40</v>
      </c>
      <c r="F20" s="20">
        <f t="shared" si="3"/>
        <v>985.71428571428567</v>
      </c>
      <c r="K20" t="s">
        <v>29</v>
      </c>
      <c r="L20" s="19">
        <f>L18*L19</f>
        <v>23</v>
      </c>
      <c r="M20" s="19"/>
      <c r="N20" s="19"/>
      <c r="O20" s="20"/>
    </row>
    <row r="21" spans="1:15" x14ac:dyDescent="0.45">
      <c r="C21" s="19"/>
      <c r="D21" s="19"/>
      <c r="E21" s="19"/>
      <c r="F21" s="20"/>
      <c r="O21" s="16"/>
    </row>
    <row r="22" spans="1:15" x14ac:dyDescent="0.45">
      <c r="A22" s="23" t="s">
        <v>20</v>
      </c>
      <c r="B22" s="24"/>
      <c r="C22" s="25"/>
      <c r="D22" s="25"/>
      <c r="E22" s="25"/>
      <c r="F22" s="26"/>
      <c r="J22" s="23" t="s">
        <v>92</v>
      </c>
      <c r="K22" s="24"/>
      <c r="L22" s="24"/>
      <c r="M22" s="24"/>
      <c r="N22" s="24"/>
      <c r="O22" s="27"/>
    </row>
    <row r="23" spans="1:15" x14ac:dyDescent="0.45">
      <c r="B23" t="s">
        <v>25</v>
      </c>
      <c r="C23" s="19">
        <f>C10*C11*0.4*2.3*1.15</f>
        <v>528.99999999999989</v>
      </c>
      <c r="D23" s="19"/>
      <c r="E23" s="19"/>
      <c r="F23" s="20"/>
      <c r="K23" s="15" t="s">
        <v>4</v>
      </c>
      <c r="L23" s="17" t="s">
        <v>8</v>
      </c>
      <c r="M23" s="17" t="s">
        <v>5</v>
      </c>
      <c r="N23" s="17" t="s">
        <v>6</v>
      </c>
      <c r="O23" s="18" t="s">
        <v>7</v>
      </c>
    </row>
    <row r="24" spans="1:15" x14ac:dyDescent="0.45">
      <c r="B24" t="s">
        <v>26</v>
      </c>
      <c r="C24" s="19">
        <v>250</v>
      </c>
      <c r="D24" s="19"/>
      <c r="E24" s="19"/>
      <c r="F24" s="20"/>
      <c r="K24" t="s">
        <v>95</v>
      </c>
      <c r="L24" s="19">
        <f>$C$27</f>
        <v>23</v>
      </c>
      <c r="M24" s="19" t="s">
        <v>30</v>
      </c>
      <c r="N24" s="19">
        <v>130</v>
      </c>
      <c r="O24" s="20">
        <f>L24*N24</f>
        <v>2990</v>
      </c>
    </row>
    <row r="25" spans="1:15" x14ac:dyDescent="0.45">
      <c r="B25" t="s">
        <v>27</v>
      </c>
      <c r="C25" s="19">
        <v>2</v>
      </c>
      <c r="D25" s="19"/>
      <c r="E25" s="19"/>
      <c r="F25" s="20"/>
      <c r="K25" t="s">
        <v>22</v>
      </c>
      <c r="L25" s="19">
        <f>$C$27</f>
        <v>23</v>
      </c>
      <c r="M25" s="19" t="s">
        <v>30</v>
      </c>
      <c r="N25" s="19">
        <v>120</v>
      </c>
      <c r="O25" s="20">
        <f t="shared" ref="O25:O28" si="4">L25*N25</f>
        <v>2760</v>
      </c>
    </row>
    <row r="26" spans="1:15" x14ac:dyDescent="0.45">
      <c r="B26" t="s">
        <v>28</v>
      </c>
      <c r="C26" s="19">
        <v>11.5</v>
      </c>
      <c r="D26" s="19"/>
      <c r="E26" s="19"/>
      <c r="F26" s="20"/>
      <c r="K26" t="s">
        <v>81</v>
      </c>
      <c r="L26" s="19">
        <f>$C$27*2</f>
        <v>46</v>
      </c>
      <c r="M26" s="19" t="s">
        <v>30</v>
      </c>
      <c r="N26" s="19">
        <v>50</v>
      </c>
      <c r="O26" s="20">
        <f t="shared" si="4"/>
        <v>2300</v>
      </c>
    </row>
    <row r="27" spans="1:15" x14ac:dyDescent="0.45">
      <c r="B27" t="s">
        <v>29</v>
      </c>
      <c r="C27" s="19">
        <f>C25*C26</f>
        <v>23</v>
      </c>
      <c r="D27" s="19"/>
      <c r="E27" s="19"/>
      <c r="F27" s="20"/>
      <c r="K27" t="s">
        <v>93</v>
      </c>
      <c r="L27" s="19">
        <f>L18</f>
        <v>2</v>
      </c>
      <c r="M27" s="19" t="s">
        <v>53</v>
      </c>
      <c r="N27" s="19">
        <v>200</v>
      </c>
      <c r="O27" s="20">
        <f t="shared" si="4"/>
        <v>400</v>
      </c>
    </row>
    <row r="28" spans="1:15" x14ac:dyDescent="0.45">
      <c r="F28" s="16"/>
      <c r="K28" t="s">
        <v>94</v>
      </c>
      <c r="L28" s="19">
        <f>L18</f>
        <v>2</v>
      </c>
      <c r="M28" s="19" t="s">
        <v>53</v>
      </c>
      <c r="N28" s="19">
        <v>190</v>
      </c>
      <c r="O28" s="20">
        <f t="shared" si="4"/>
        <v>380</v>
      </c>
    </row>
    <row r="29" spans="1:15" x14ac:dyDescent="0.45">
      <c r="A29" s="23" t="s">
        <v>92</v>
      </c>
      <c r="B29" s="24"/>
      <c r="C29" s="24"/>
      <c r="D29" s="24"/>
      <c r="E29" s="24"/>
      <c r="F29" s="27"/>
    </row>
    <row r="30" spans="1:15" x14ac:dyDescent="0.45">
      <c r="B30" s="15" t="s">
        <v>4</v>
      </c>
      <c r="C30" s="17" t="s">
        <v>8</v>
      </c>
      <c r="D30" s="17" t="s">
        <v>5</v>
      </c>
      <c r="E30" s="17" t="s">
        <v>6</v>
      </c>
      <c r="F30" s="18" t="s">
        <v>7</v>
      </c>
    </row>
    <row r="31" spans="1:15" x14ac:dyDescent="0.45">
      <c r="B31" t="s">
        <v>150</v>
      </c>
      <c r="C31" s="19">
        <f>$C$27</f>
        <v>23</v>
      </c>
      <c r="D31" s="19" t="s">
        <v>30</v>
      </c>
      <c r="E31" s="19">
        <v>120</v>
      </c>
      <c r="F31" s="20">
        <f>C31*E31</f>
        <v>2760</v>
      </c>
    </row>
    <row r="32" spans="1:15" x14ac:dyDescent="0.45">
      <c r="B32" t="s">
        <v>22</v>
      </c>
      <c r="C32" s="19">
        <f>$C$27</f>
        <v>23</v>
      </c>
      <c r="D32" s="19" t="s">
        <v>30</v>
      </c>
      <c r="E32" s="19">
        <v>110</v>
      </c>
      <c r="F32" s="20">
        <f t="shared" ref="F32:F33" si="5">C32*E32</f>
        <v>2530</v>
      </c>
    </row>
    <row r="33" spans="1:7" x14ac:dyDescent="0.45">
      <c r="B33" t="s">
        <v>81</v>
      </c>
      <c r="C33" s="19">
        <f>$C$27*2</f>
        <v>46</v>
      </c>
      <c r="D33" s="19" t="s">
        <v>30</v>
      </c>
      <c r="E33" s="19">
        <v>40</v>
      </c>
      <c r="F33" s="20">
        <f t="shared" si="5"/>
        <v>1840</v>
      </c>
    </row>
    <row r="34" spans="1:7" x14ac:dyDescent="0.45">
      <c r="B34" t="s">
        <v>93</v>
      </c>
      <c r="C34" s="19">
        <v>2</v>
      </c>
      <c r="D34" s="19" t="s">
        <v>53</v>
      </c>
      <c r="E34" s="19">
        <v>200</v>
      </c>
      <c r="F34" s="20">
        <v>200</v>
      </c>
    </row>
    <row r="35" spans="1:7" x14ac:dyDescent="0.45">
      <c r="B35" t="s">
        <v>94</v>
      </c>
      <c r="C35" s="19">
        <v>2</v>
      </c>
      <c r="D35" s="19" t="s">
        <v>53</v>
      </c>
      <c r="E35" s="19">
        <v>190</v>
      </c>
      <c r="F35" s="20">
        <v>190</v>
      </c>
    </row>
    <row r="36" spans="1:7" x14ac:dyDescent="0.45">
      <c r="C36" s="19"/>
      <c r="D36" s="19"/>
      <c r="E36" s="19"/>
      <c r="F36" s="20"/>
    </row>
    <row r="37" spans="1:7" x14ac:dyDescent="0.45">
      <c r="A37" s="23" t="s">
        <v>80</v>
      </c>
      <c r="B37" s="24"/>
      <c r="C37" s="24"/>
      <c r="D37" s="24"/>
      <c r="E37" s="24"/>
      <c r="F37" s="24"/>
    </row>
    <row r="38" spans="1:7" x14ac:dyDescent="0.45">
      <c r="A38" t="s">
        <v>82</v>
      </c>
    </row>
    <row r="39" spans="1:7" x14ac:dyDescent="0.45">
      <c r="A39" s="19">
        <f>3*11.5</f>
        <v>34.5</v>
      </c>
    </row>
    <row r="40" spans="1:7" x14ac:dyDescent="0.45">
      <c r="B40" s="15" t="s">
        <v>4</v>
      </c>
      <c r="C40" s="17" t="s">
        <v>8</v>
      </c>
      <c r="D40" s="17" t="s">
        <v>5</v>
      </c>
      <c r="E40" s="17" t="s">
        <v>6</v>
      </c>
      <c r="F40" s="18" t="s">
        <v>7</v>
      </c>
    </row>
    <row r="41" spans="1:7" x14ac:dyDescent="0.45">
      <c r="B41" t="s">
        <v>76</v>
      </c>
      <c r="C41" s="19">
        <f>A39</f>
        <v>34.5</v>
      </c>
      <c r="D41" s="19" t="s">
        <v>30</v>
      </c>
      <c r="E41" s="19">
        <v>150</v>
      </c>
      <c r="F41" s="20">
        <f>C41*E41</f>
        <v>5175</v>
      </c>
    </row>
    <row r="42" spans="1:7" x14ac:dyDescent="0.45">
      <c r="B42" t="s">
        <v>77</v>
      </c>
      <c r="C42" s="19">
        <v>1</v>
      </c>
      <c r="D42" s="19" t="s">
        <v>54</v>
      </c>
      <c r="E42" s="19">
        <v>15000</v>
      </c>
      <c r="F42" s="20">
        <v>10000</v>
      </c>
      <c r="G42" t="s">
        <v>79</v>
      </c>
    </row>
    <row r="43" spans="1:7" x14ac:dyDescent="0.45">
      <c r="B43" t="s">
        <v>78</v>
      </c>
      <c r="C43" s="19">
        <v>1</v>
      </c>
      <c r="D43" s="19" t="s">
        <v>54</v>
      </c>
      <c r="E43" s="19">
        <v>7500</v>
      </c>
      <c r="F43" s="20">
        <v>5000</v>
      </c>
      <c r="G43" t="s">
        <v>79</v>
      </c>
    </row>
    <row r="44" spans="1:7" x14ac:dyDescent="0.45">
      <c r="B44" t="s">
        <v>21</v>
      </c>
      <c r="C44" s="19">
        <f>$A$39</f>
        <v>34.5</v>
      </c>
      <c r="D44" s="19" t="s">
        <v>30</v>
      </c>
      <c r="E44" s="19">
        <v>120</v>
      </c>
      <c r="F44" s="20">
        <f>C44*E44</f>
        <v>4140</v>
      </c>
    </row>
    <row r="45" spans="1:7" x14ac:dyDescent="0.45">
      <c r="B45" t="s">
        <v>22</v>
      </c>
      <c r="C45" s="19">
        <f>$A$39</f>
        <v>34.5</v>
      </c>
      <c r="D45" s="19" t="s">
        <v>30</v>
      </c>
      <c r="E45" s="19">
        <v>110</v>
      </c>
      <c r="F45" s="20">
        <f t="shared" ref="F45:F46" si="6">C45*E45</f>
        <v>3795</v>
      </c>
    </row>
    <row r="46" spans="1:7" x14ac:dyDescent="0.45">
      <c r="B46" t="s">
        <v>81</v>
      </c>
      <c r="C46" s="19">
        <f>$A$39</f>
        <v>34.5</v>
      </c>
      <c r="D46" s="19" t="s">
        <v>30</v>
      </c>
      <c r="E46" s="19">
        <v>50</v>
      </c>
      <c r="F46" s="20">
        <f t="shared" si="6"/>
        <v>1725</v>
      </c>
    </row>
    <row r="47" spans="1:7" x14ac:dyDescent="0.45">
      <c r="B47" t="s">
        <v>159</v>
      </c>
      <c r="C47" s="19">
        <v>1</v>
      </c>
      <c r="D47" s="19" t="s">
        <v>143</v>
      </c>
      <c r="E47" s="19">
        <v>2500</v>
      </c>
      <c r="F47" s="20">
        <v>1725</v>
      </c>
      <c r="G47" t="s">
        <v>79</v>
      </c>
    </row>
    <row r="49" spans="1:6" x14ac:dyDescent="0.45">
      <c r="A49" s="23" t="s">
        <v>83</v>
      </c>
      <c r="B49" s="24"/>
      <c r="C49" s="24"/>
      <c r="D49" s="24"/>
      <c r="E49" s="24"/>
      <c r="F49" s="27"/>
    </row>
    <row r="50" spans="1:6" x14ac:dyDescent="0.45">
      <c r="A50" t="s">
        <v>86</v>
      </c>
      <c r="B50" s="15" t="s">
        <v>4</v>
      </c>
      <c r="C50" s="17" t="s">
        <v>8</v>
      </c>
      <c r="D50" s="17" t="s">
        <v>5</v>
      </c>
      <c r="E50" s="17" t="s">
        <v>6</v>
      </c>
      <c r="F50" s="18" t="s">
        <v>7</v>
      </c>
    </row>
    <row r="51" spans="1:6" x14ac:dyDescent="0.45">
      <c r="A51" t="s">
        <v>87</v>
      </c>
      <c r="B51" t="s">
        <v>84</v>
      </c>
      <c r="C51">
        <f>5*2</f>
        <v>10</v>
      </c>
      <c r="D51" t="s">
        <v>88</v>
      </c>
      <c r="E51">
        <v>1505</v>
      </c>
      <c r="F51" s="16">
        <f>E51*C51</f>
        <v>15050</v>
      </c>
    </row>
    <row r="52" spans="1:6" x14ac:dyDescent="0.45">
      <c r="B52" t="s">
        <v>85</v>
      </c>
      <c r="C52">
        <f t="shared" ref="C52" si="7">5*2</f>
        <v>10</v>
      </c>
      <c r="D52" t="s">
        <v>88</v>
      </c>
      <c r="E52">
        <v>100</v>
      </c>
      <c r="F52" s="16">
        <f t="shared" ref="F52:F53" si="8">E52*C52</f>
        <v>1000</v>
      </c>
    </row>
    <row r="53" spans="1:6" x14ac:dyDescent="0.45">
      <c r="B53" t="s">
        <v>75</v>
      </c>
      <c r="C53">
        <f>5*2*1.2</f>
        <v>12</v>
      </c>
      <c r="D53" t="s">
        <v>43</v>
      </c>
      <c r="E53">
        <v>375</v>
      </c>
      <c r="F53" s="16">
        <f t="shared" si="8"/>
        <v>4500</v>
      </c>
    </row>
  </sheetData>
  <mergeCells count="2">
    <mergeCell ref="A1:F1"/>
    <mergeCell ref="J1:O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EA9F9-0401-4FFA-8565-B5DF582D7C30}">
  <dimension ref="A1:M33"/>
  <sheetViews>
    <sheetView zoomScale="90" zoomScaleNormal="90" workbookViewId="0">
      <selection activeCell="A36" sqref="A36"/>
    </sheetView>
  </sheetViews>
  <sheetFormatPr defaultRowHeight="12.85" customHeight="1" x14ac:dyDescent="0.45"/>
  <cols>
    <col min="1" max="1" width="14.265625" customWidth="1"/>
    <col min="2" max="2" width="35.59765625" customWidth="1"/>
    <col min="3" max="3" width="18.265625" customWidth="1"/>
    <col min="8" max="8" width="11.06640625" customWidth="1"/>
  </cols>
  <sheetData>
    <row r="1" spans="1:13" ht="12.85" customHeight="1" x14ac:dyDescent="0.45">
      <c r="A1" s="44" t="s">
        <v>97</v>
      </c>
      <c r="B1" s="44"/>
      <c r="C1" s="44"/>
      <c r="D1" s="44"/>
      <c r="E1" s="44"/>
      <c r="F1" s="44"/>
    </row>
    <row r="3" spans="1:13" ht="12.85" customHeight="1" x14ac:dyDescent="0.45">
      <c r="B3" s="15"/>
      <c r="C3" s="17"/>
      <c r="D3" s="17"/>
      <c r="E3" s="17"/>
      <c r="F3" s="18"/>
    </row>
    <row r="4" spans="1:13" ht="12.85" customHeight="1" x14ac:dyDescent="0.45">
      <c r="A4" s="1" t="s">
        <v>98</v>
      </c>
      <c r="B4" s="1" t="s">
        <v>97</v>
      </c>
      <c r="C4" s="2"/>
      <c r="D4" s="2" t="s">
        <v>0</v>
      </c>
      <c r="E4" s="3"/>
      <c r="F4" s="3"/>
      <c r="G4" s="3">
        <v>1</v>
      </c>
      <c r="H4" s="3"/>
      <c r="I4" s="4" t="s">
        <v>1</v>
      </c>
      <c r="J4" s="4">
        <v>2</v>
      </c>
      <c r="K4" s="4"/>
      <c r="L4" s="4"/>
      <c r="M4" s="4"/>
    </row>
    <row r="5" spans="1:13" ht="12.85" customHeight="1" x14ac:dyDescent="0.45">
      <c r="A5" s="6">
        <v>1</v>
      </c>
      <c r="B5" s="5" t="s">
        <v>2</v>
      </c>
      <c r="C5" s="6"/>
      <c r="D5" s="6"/>
      <c r="E5" s="7"/>
      <c r="F5" s="7"/>
      <c r="G5" s="7"/>
      <c r="H5" s="7"/>
      <c r="I5" s="8"/>
      <c r="J5" s="8"/>
      <c r="K5" s="8"/>
      <c r="L5" s="8"/>
      <c r="M5" s="8"/>
    </row>
    <row r="6" spans="1:13" ht="12.85" customHeight="1" x14ac:dyDescent="0.45">
      <c r="A6" s="6">
        <v>2</v>
      </c>
      <c r="B6" s="5" t="s">
        <v>99</v>
      </c>
      <c r="C6" s="6"/>
      <c r="D6" s="6"/>
      <c r="E6" s="7"/>
      <c r="F6" s="7"/>
      <c r="G6" s="7"/>
      <c r="H6" s="7"/>
      <c r="I6" s="8"/>
      <c r="J6" s="8"/>
      <c r="K6" s="8"/>
      <c r="L6" s="8"/>
      <c r="M6" s="8"/>
    </row>
    <row r="7" spans="1:13" ht="12.85" customHeight="1" x14ac:dyDescent="0.45">
      <c r="A7" s="6">
        <v>3</v>
      </c>
      <c r="B7" s="5"/>
      <c r="C7" s="6"/>
      <c r="D7" s="6"/>
      <c r="E7" s="7"/>
      <c r="F7" s="7"/>
      <c r="G7" s="7"/>
      <c r="H7" s="7"/>
      <c r="I7" s="8"/>
      <c r="J7" s="8"/>
      <c r="K7" s="8"/>
      <c r="L7" s="8"/>
      <c r="M7" s="8"/>
    </row>
    <row r="8" spans="1:13" ht="12.85" customHeight="1" x14ac:dyDescent="0.45">
      <c r="A8" s="6">
        <v>4</v>
      </c>
      <c r="B8" s="5" t="s">
        <v>100</v>
      </c>
      <c r="C8" s="6"/>
      <c r="D8" s="6"/>
      <c r="E8" s="7"/>
      <c r="F8" s="7"/>
      <c r="G8" s="7"/>
      <c r="H8" s="7"/>
      <c r="I8" s="8"/>
      <c r="J8" s="8"/>
      <c r="K8" s="8"/>
      <c r="L8" s="8"/>
      <c r="M8" s="8"/>
    </row>
    <row r="9" spans="1:13" ht="12.85" customHeight="1" x14ac:dyDescent="0.45">
      <c r="A9" s="10">
        <v>5</v>
      </c>
      <c r="B9" s="9" t="s">
        <v>101</v>
      </c>
      <c r="C9" s="10"/>
      <c r="D9" s="10"/>
      <c r="E9" s="11"/>
      <c r="F9" s="11"/>
      <c r="G9" s="11">
        <v>5</v>
      </c>
      <c r="H9" s="11"/>
      <c r="I9" s="12"/>
      <c r="J9" s="12"/>
      <c r="K9" s="12"/>
      <c r="L9" s="12"/>
      <c r="M9" s="12"/>
    </row>
    <row r="10" spans="1:13" ht="12.85" customHeight="1" x14ac:dyDescent="0.45">
      <c r="A10" s="6">
        <v>6</v>
      </c>
      <c r="B10" s="5"/>
      <c r="C10" s="6"/>
      <c r="D10" s="6"/>
      <c r="E10" s="7"/>
      <c r="F10" s="7"/>
      <c r="G10" s="7"/>
      <c r="H10" s="7"/>
      <c r="I10" s="8"/>
      <c r="J10" s="8"/>
      <c r="K10" s="8"/>
      <c r="L10" s="8"/>
      <c r="M10" s="8"/>
    </row>
    <row r="11" spans="1:13" ht="12.85" customHeight="1" x14ac:dyDescent="0.45">
      <c r="A11" s="6">
        <v>7</v>
      </c>
      <c r="B11" s="5" t="s">
        <v>102</v>
      </c>
      <c r="C11" s="6"/>
      <c r="D11" s="6"/>
      <c r="E11" s="7"/>
      <c r="F11" s="7"/>
      <c r="G11" s="7"/>
      <c r="H11" s="7"/>
      <c r="I11" s="8"/>
      <c r="J11" s="8"/>
      <c r="K11" s="8"/>
      <c r="L11" s="8"/>
      <c r="M11" s="8"/>
    </row>
    <row r="12" spans="1:13" ht="12.85" customHeight="1" x14ac:dyDescent="0.45">
      <c r="A12" s="10">
        <v>8</v>
      </c>
      <c r="B12" s="9" t="s">
        <v>103</v>
      </c>
      <c r="C12" s="10" t="s">
        <v>104</v>
      </c>
      <c r="D12" s="10" t="s">
        <v>65</v>
      </c>
      <c r="E12" s="11"/>
      <c r="F12" s="11"/>
      <c r="G12" s="11">
        <v>104.04</v>
      </c>
      <c r="H12" s="11">
        <v>31</v>
      </c>
      <c r="I12" s="12"/>
      <c r="J12" s="12">
        <v>3225.24</v>
      </c>
      <c r="K12" s="12"/>
      <c r="L12" s="12"/>
      <c r="M12" s="12">
        <v>3225.24</v>
      </c>
    </row>
    <row r="13" spans="1:13" ht="12.85" customHeight="1" x14ac:dyDescent="0.45">
      <c r="A13" s="10">
        <v>9</v>
      </c>
      <c r="B13" s="9" t="s">
        <v>105</v>
      </c>
      <c r="C13" s="10" t="s">
        <v>106</v>
      </c>
      <c r="D13" s="10" t="s">
        <v>3</v>
      </c>
      <c r="E13" s="11"/>
      <c r="F13" s="11"/>
      <c r="G13" s="11">
        <v>625</v>
      </c>
      <c r="H13" s="11">
        <v>1</v>
      </c>
      <c r="I13" s="12"/>
      <c r="J13" s="12">
        <v>625</v>
      </c>
      <c r="K13" s="12"/>
      <c r="L13" s="12"/>
      <c r="M13" s="12">
        <v>625</v>
      </c>
    </row>
    <row r="14" spans="1:13" ht="12.85" customHeight="1" x14ac:dyDescent="0.45">
      <c r="A14" s="10">
        <v>10</v>
      </c>
      <c r="B14" s="9" t="s">
        <v>107</v>
      </c>
      <c r="C14" s="10" t="s">
        <v>106</v>
      </c>
      <c r="D14" s="10" t="s">
        <v>3</v>
      </c>
      <c r="E14" s="11"/>
      <c r="F14" s="11"/>
      <c r="G14" s="11">
        <v>7500</v>
      </c>
      <c r="H14" s="11">
        <v>1</v>
      </c>
      <c r="I14" s="12"/>
      <c r="J14" s="12">
        <v>7500</v>
      </c>
      <c r="K14" s="12"/>
      <c r="L14" s="12"/>
      <c r="M14" s="12">
        <v>7500</v>
      </c>
    </row>
    <row r="15" spans="1:13" ht="12.85" customHeight="1" x14ac:dyDescent="0.45">
      <c r="A15" s="6">
        <v>11</v>
      </c>
      <c r="B15" s="5"/>
      <c r="C15" s="6"/>
      <c r="D15" s="6"/>
      <c r="E15" s="7"/>
      <c r="F15" s="7"/>
      <c r="G15" s="7"/>
      <c r="H15" s="7"/>
      <c r="I15" s="8"/>
      <c r="J15" s="8"/>
      <c r="K15" s="8"/>
      <c r="L15" s="8"/>
      <c r="M15" s="8"/>
    </row>
    <row r="16" spans="1:13" ht="12.85" customHeight="1" x14ac:dyDescent="0.45">
      <c r="A16" s="6">
        <v>12</v>
      </c>
      <c r="B16" s="5" t="s">
        <v>108</v>
      </c>
      <c r="C16" s="6"/>
      <c r="D16" s="6"/>
      <c r="E16" s="7"/>
      <c r="F16" s="7"/>
      <c r="G16" s="7"/>
      <c r="H16" s="7"/>
      <c r="I16" s="8"/>
      <c r="J16" s="8"/>
      <c r="K16" s="8"/>
      <c r="L16" s="8"/>
      <c r="M16" s="8"/>
    </row>
    <row r="17" spans="1:13" ht="12.85" customHeight="1" x14ac:dyDescent="0.45">
      <c r="A17" s="10">
        <v>13</v>
      </c>
      <c r="B17" s="9" t="s">
        <v>109</v>
      </c>
      <c r="C17" s="10"/>
      <c r="D17" s="10"/>
      <c r="E17" s="11"/>
      <c r="F17" s="11"/>
      <c r="G17" s="11">
        <v>15</v>
      </c>
      <c r="H17" s="11"/>
      <c r="I17" s="12"/>
      <c r="J17" s="12"/>
      <c r="K17" s="12"/>
      <c r="L17" s="12"/>
      <c r="M17" s="12"/>
    </row>
    <row r="18" spans="1:13" ht="12.85" customHeight="1" x14ac:dyDescent="0.45">
      <c r="A18" s="10">
        <v>14</v>
      </c>
      <c r="B18" s="9" t="s">
        <v>110</v>
      </c>
      <c r="C18" s="10" t="s">
        <v>111</v>
      </c>
      <c r="D18" s="10" t="s">
        <v>112</v>
      </c>
      <c r="E18" s="11"/>
      <c r="F18" s="11"/>
      <c r="G18" s="11">
        <v>15</v>
      </c>
      <c r="H18" s="11">
        <v>135</v>
      </c>
      <c r="I18" s="12"/>
      <c r="J18" s="12"/>
      <c r="K18" s="12">
        <v>2025</v>
      </c>
      <c r="L18" s="12"/>
      <c r="M18" s="12">
        <v>2025</v>
      </c>
    </row>
    <row r="19" spans="1:13" ht="12.85" customHeight="1" x14ac:dyDescent="0.45">
      <c r="A19" s="10">
        <v>15</v>
      </c>
      <c r="B19" s="9" t="s">
        <v>113</v>
      </c>
      <c r="C19" s="10" t="s">
        <v>114</v>
      </c>
      <c r="D19" s="10" t="s">
        <v>115</v>
      </c>
      <c r="E19" s="11"/>
      <c r="F19" s="11"/>
      <c r="G19" s="11">
        <v>30</v>
      </c>
      <c r="H19" s="11">
        <v>64.77</v>
      </c>
      <c r="I19" s="12">
        <v>1943.1</v>
      </c>
      <c r="J19" s="12"/>
      <c r="K19" s="12"/>
      <c r="L19" s="12"/>
      <c r="M19" s="12">
        <v>1943.1</v>
      </c>
    </row>
    <row r="20" spans="1:13" ht="12.85" customHeight="1" x14ac:dyDescent="0.45">
      <c r="A20" s="6">
        <v>16</v>
      </c>
      <c r="B20" s="5"/>
      <c r="C20" s="6"/>
      <c r="D20" s="6"/>
      <c r="E20" s="7"/>
      <c r="F20" s="7"/>
      <c r="G20" s="7"/>
      <c r="H20" s="7"/>
      <c r="I20" s="8"/>
      <c r="J20" s="8"/>
      <c r="K20" s="8"/>
      <c r="L20" s="8"/>
      <c r="M20" s="8"/>
    </row>
    <row r="21" spans="1:13" ht="12.85" customHeight="1" x14ac:dyDescent="0.45">
      <c r="A21" s="6">
        <v>17</v>
      </c>
      <c r="B21" s="5" t="s">
        <v>116</v>
      </c>
      <c r="C21" s="6"/>
      <c r="D21" s="6"/>
      <c r="E21" s="7"/>
      <c r="F21" s="7"/>
      <c r="G21" s="7"/>
      <c r="H21" s="7"/>
      <c r="I21" s="8"/>
      <c r="J21" s="8"/>
      <c r="K21" s="8"/>
      <c r="L21" s="8"/>
      <c r="M21" s="8"/>
    </row>
    <row r="22" spans="1:13" ht="12.85" customHeight="1" x14ac:dyDescent="0.45">
      <c r="A22" s="10">
        <v>18</v>
      </c>
      <c r="B22" s="9" t="s">
        <v>117</v>
      </c>
      <c r="C22" s="10"/>
      <c r="D22" s="10"/>
      <c r="E22" s="11"/>
      <c r="F22" s="11"/>
      <c r="G22" s="11">
        <v>5</v>
      </c>
      <c r="H22" s="11"/>
      <c r="I22" s="12"/>
      <c r="J22" s="12"/>
      <c r="K22" s="12"/>
      <c r="L22" s="12"/>
      <c r="M22" s="12"/>
    </row>
    <row r="23" spans="1:13" ht="12.85" customHeight="1" x14ac:dyDescent="0.45">
      <c r="A23" s="10">
        <v>19</v>
      </c>
      <c r="B23" s="9" t="s">
        <v>118</v>
      </c>
      <c r="C23" s="10" t="s">
        <v>119</v>
      </c>
      <c r="D23" s="10" t="s">
        <v>112</v>
      </c>
      <c r="E23" s="11"/>
      <c r="F23" s="11"/>
      <c r="G23" s="11">
        <v>5</v>
      </c>
      <c r="H23" s="11">
        <v>142.26429999999999</v>
      </c>
      <c r="I23" s="12">
        <v>374.15</v>
      </c>
      <c r="J23" s="12">
        <v>110.25</v>
      </c>
      <c r="K23" s="12">
        <v>226.92150000000001</v>
      </c>
      <c r="L23" s="12"/>
      <c r="M23" s="12">
        <v>711.32150000000001</v>
      </c>
    </row>
    <row r="24" spans="1:13" ht="12.85" customHeight="1" x14ac:dyDescent="0.45">
      <c r="A24" s="10">
        <v>20</v>
      </c>
      <c r="B24" s="9" t="s">
        <v>120</v>
      </c>
      <c r="C24" s="10" t="s">
        <v>114</v>
      </c>
      <c r="D24" s="10" t="s">
        <v>115</v>
      </c>
      <c r="E24" s="11"/>
      <c r="F24" s="11"/>
      <c r="G24" s="11">
        <v>10</v>
      </c>
      <c r="H24" s="11">
        <v>64.77</v>
      </c>
      <c r="I24" s="12">
        <v>647.70000000000005</v>
      </c>
      <c r="J24" s="12"/>
      <c r="K24" s="12"/>
      <c r="L24" s="12"/>
      <c r="M24" s="12">
        <v>647.70000000000005</v>
      </c>
    </row>
    <row r="25" spans="1:13" ht="12.85" customHeight="1" x14ac:dyDescent="0.45">
      <c r="A25" s="10">
        <v>21</v>
      </c>
      <c r="B25" s="9" t="s">
        <v>121</v>
      </c>
      <c r="C25" s="10" t="s">
        <v>122</v>
      </c>
      <c r="D25" s="10" t="s">
        <v>3</v>
      </c>
      <c r="E25" s="11"/>
      <c r="F25" s="11"/>
      <c r="G25" s="11">
        <v>200</v>
      </c>
      <c r="H25" s="11">
        <v>1</v>
      </c>
      <c r="I25" s="12"/>
      <c r="J25" s="12"/>
      <c r="K25" s="12">
        <v>200</v>
      </c>
      <c r="L25" s="12"/>
      <c r="M25" s="12">
        <v>200</v>
      </c>
    </row>
    <row r="26" spans="1:13" ht="12.85" customHeight="1" x14ac:dyDescent="0.45">
      <c r="A26" s="6">
        <v>22</v>
      </c>
      <c r="B26" s="5"/>
      <c r="C26" s="6"/>
      <c r="D26" s="6"/>
      <c r="E26" s="7"/>
      <c r="F26" s="7"/>
      <c r="G26" s="7"/>
      <c r="H26" s="7"/>
      <c r="I26" s="8"/>
      <c r="J26" s="8"/>
      <c r="K26" s="8"/>
      <c r="L26" s="8"/>
      <c r="M26" s="8"/>
    </row>
    <row r="27" spans="1:13" ht="12.85" customHeight="1" x14ac:dyDescent="0.45">
      <c r="A27" s="6">
        <v>23</v>
      </c>
      <c r="B27" s="5" t="s">
        <v>123</v>
      </c>
      <c r="C27" s="6"/>
      <c r="D27" s="6"/>
      <c r="E27" s="7"/>
      <c r="F27" s="7"/>
      <c r="G27" s="7"/>
      <c r="H27" s="7"/>
      <c r="I27" s="8"/>
      <c r="J27" s="8"/>
      <c r="K27" s="8"/>
      <c r="L27" s="8"/>
      <c r="M27" s="8"/>
    </row>
    <row r="28" spans="1:13" ht="12.85" customHeight="1" x14ac:dyDescent="0.45">
      <c r="A28" s="10">
        <v>24</v>
      </c>
      <c r="B28" s="9" t="s">
        <v>124</v>
      </c>
      <c r="C28" s="10" t="s">
        <v>125</v>
      </c>
      <c r="D28" s="10" t="s">
        <v>126</v>
      </c>
      <c r="E28" s="11"/>
      <c r="F28" s="11"/>
      <c r="G28" s="11">
        <v>105</v>
      </c>
      <c r="H28" s="11">
        <v>432.11500000000001</v>
      </c>
      <c r="I28" s="12">
        <v>10201.275</v>
      </c>
      <c r="J28" s="12">
        <v>11576.25</v>
      </c>
      <c r="K28" s="12">
        <v>23594.55</v>
      </c>
      <c r="L28" s="12"/>
      <c r="M28" s="12">
        <v>45372.074999999997</v>
      </c>
    </row>
    <row r="29" spans="1:13" ht="12.85" customHeight="1" x14ac:dyDescent="0.45">
      <c r="A29" s="10">
        <v>25</v>
      </c>
      <c r="B29" s="9" t="s">
        <v>127</v>
      </c>
      <c r="C29" s="10" t="s">
        <v>128</v>
      </c>
      <c r="D29" s="10" t="s">
        <v>129</v>
      </c>
      <c r="E29" s="11"/>
      <c r="F29" s="11"/>
      <c r="G29" s="11">
        <v>4200</v>
      </c>
      <c r="H29" s="11">
        <v>1.47</v>
      </c>
      <c r="I29" s="12"/>
      <c r="J29" s="12">
        <v>6174</v>
      </c>
      <c r="K29" s="12"/>
      <c r="L29" s="12"/>
      <c r="M29" s="12">
        <v>6174</v>
      </c>
    </row>
    <row r="30" spans="1:13" ht="12.85" customHeight="1" x14ac:dyDescent="0.45">
      <c r="A30" s="6">
        <v>26</v>
      </c>
      <c r="B30" s="5"/>
      <c r="C30" s="6"/>
      <c r="D30" s="6"/>
      <c r="E30" s="7"/>
      <c r="F30" s="7"/>
      <c r="G30" s="7"/>
      <c r="H30" s="7"/>
      <c r="I30" s="8"/>
      <c r="J30" s="8"/>
      <c r="K30" s="8"/>
      <c r="L30" s="8"/>
      <c r="M30" s="8"/>
    </row>
    <row r="31" spans="1:13" ht="12.85" customHeight="1" x14ac:dyDescent="0.45">
      <c r="A31" s="10">
        <v>27</v>
      </c>
      <c r="B31" s="9" t="s">
        <v>130</v>
      </c>
      <c r="C31" s="10"/>
      <c r="D31" s="10"/>
      <c r="E31" s="11"/>
      <c r="F31" s="11"/>
      <c r="G31" s="11"/>
      <c r="H31" s="11">
        <v>13684.6873</v>
      </c>
      <c r="I31" s="12">
        <v>13166.225</v>
      </c>
      <c r="J31" s="12">
        <v>29210.74</v>
      </c>
      <c r="K31" s="12">
        <v>26046.4715</v>
      </c>
      <c r="L31" s="12"/>
      <c r="M31" s="12">
        <v>68423.436499999996</v>
      </c>
    </row>
    <row r="32" spans="1:13" ht="12.85" customHeight="1" x14ac:dyDescent="0.45">
      <c r="A32" s="6"/>
      <c r="B32" s="5"/>
      <c r="C32" s="6"/>
      <c r="D32" s="6"/>
      <c r="E32" s="7"/>
      <c r="F32" s="7"/>
      <c r="G32" s="7"/>
      <c r="H32" s="7"/>
      <c r="I32" s="8"/>
      <c r="J32" s="8"/>
      <c r="K32" s="8"/>
      <c r="L32" s="8"/>
      <c r="M32" s="8"/>
    </row>
    <row r="33" spans="1:13" ht="12.85" customHeight="1" x14ac:dyDescent="0.45">
      <c r="A33" s="6"/>
      <c r="B33" s="5"/>
      <c r="C33" s="6"/>
      <c r="D33" s="6"/>
      <c r="E33" s="7"/>
      <c r="F33" s="7"/>
      <c r="G33" s="7"/>
      <c r="H33" s="13">
        <v>68423.436499999996</v>
      </c>
      <c r="I33" s="14">
        <v>13166.225</v>
      </c>
      <c r="J33" s="14">
        <v>29210.74</v>
      </c>
      <c r="K33" s="14">
        <v>26046.4715</v>
      </c>
      <c r="L33" s="14"/>
      <c r="M33" s="14">
        <v>68423.436499999996</v>
      </c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68178-5E1F-4E31-9A27-069513798E86}">
  <dimension ref="A1:I31"/>
  <sheetViews>
    <sheetView topLeftCell="A7" zoomScale="115" zoomScaleNormal="115" workbookViewId="0">
      <selection activeCell="E32" sqref="E32"/>
    </sheetView>
  </sheetViews>
  <sheetFormatPr defaultRowHeight="14.25" x14ac:dyDescent="0.45"/>
  <cols>
    <col min="2" max="2" width="21.06640625" customWidth="1"/>
    <col min="6" max="6" width="12.19921875" customWidth="1"/>
    <col min="7" max="7" width="13.3984375" customWidth="1"/>
  </cols>
  <sheetData>
    <row r="1" spans="1:9" x14ac:dyDescent="0.45">
      <c r="A1" s="44" t="s">
        <v>135</v>
      </c>
      <c r="B1" s="44"/>
      <c r="C1" s="44"/>
      <c r="D1" s="44"/>
      <c r="E1" s="44"/>
      <c r="F1" s="44"/>
      <c r="G1" s="30">
        <f>F5+F6+F12+F13+F15+F16+F20+F25+F26+F27+F31</f>
        <v>18250</v>
      </c>
    </row>
    <row r="2" spans="1:9" x14ac:dyDescent="0.45">
      <c r="F2" s="16"/>
    </row>
    <row r="3" spans="1:9" x14ac:dyDescent="0.45">
      <c r="A3" s="15" t="s">
        <v>69</v>
      </c>
      <c r="F3" s="16"/>
    </row>
    <row r="4" spans="1:9" x14ac:dyDescent="0.45">
      <c r="B4" s="15" t="s">
        <v>4</v>
      </c>
      <c r="C4" s="17" t="s">
        <v>8</v>
      </c>
      <c r="D4" s="17" t="s">
        <v>5</v>
      </c>
      <c r="E4" s="17" t="s">
        <v>6</v>
      </c>
      <c r="F4" s="18" t="s">
        <v>7</v>
      </c>
    </row>
    <row r="5" spans="1:9" x14ac:dyDescent="0.45">
      <c r="B5" t="s">
        <v>136</v>
      </c>
      <c r="C5" s="19"/>
      <c r="D5" s="19"/>
      <c r="E5" s="19"/>
      <c r="F5" s="20"/>
    </row>
    <row r="6" spans="1:9" x14ac:dyDescent="0.45">
      <c r="A6" s="15"/>
      <c r="B6" t="s">
        <v>137</v>
      </c>
      <c r="C6" s="19"/>
      <c r="D6" s="19"/>
      <c r="E6" s="19"/>
      <c r="F6" s="20"/>
      <c r="I6" t="s">
        <v>163</v>
      </c>
    </row>
    <row r="8" spans="1:9" x14ac:dyDescent="0.45">
      <c r="B8" t="s">
        <v>142</v>
      </c>
      <c r="C8">
        <v>10</v>
      </c>
    </row>
    <row r="10" spans="1:9" x14ac:dyDescent="0.45">
      <c r="A10" s="15" t="s">
        <v>138</v>
      </c>
      <c r="B10" s="15"/>
    </row>
    <row r="11" spans="1:9" x14ac:dyDescent="0.45">
      <c r="C11" s="17" t="s">
        <v>8</v>
      </c>
      <c r="D11" s="17" t="s">
        <v>5</v>
      </c>
      <c r="E11" s="17" t="s">
        <v>6</v>
      </c>
      <c r="F11" s="18" t="s">
        <v>7</v>
      </c>
    </row>
    <row r="12" spans="1:9" x14ac:dyDescent="0.45">
      <c r="B12" t="s">
        <v>139</v>
      </c>
      <c r="C12">
        <v>1</v>
      </c>
      <c r="D12" t="s">
        <v>143</v>
      </c>
      <c r="E12">
        <v>6500</v>
      </c>
      <c r="F12" s="16"/>
    </row>
    <row r="13" spans="1:9" x14ac:dyDescent="0.45">
      <c r="B13" t="s">
        <v>140</v>
      </c>
      <c r="C13">
        <f>C8</f>
        <v>10</v>
      </c>
      <c r="D13" t="s">
        <v>53</v>
      </c>
      <c r="E13">
        <v>2500</v>
      </c>
      <c r="F13" s="16"/>
    </row>
    <row r="14" spans="1:9" x14ac:dyDescent="0.45">
      <c r="B14" t="s">
        <v>162</v>
      </c>
      <c r="F14" s="16"/>
    </row>
    <row r="15" spans="1:9" x14ac:dyDescent="0.45">
      <c r="B15" t="s">
        <v>144</v>
      </c>
      <c r="C15">
        <f>10*2</f>
        <v>20</v>
      </c>
      <c r="D15" t="s">
        <v>143</v>
      </c>
      <c r="E15">
        <v>150</v>
      </c>
      <c r="F15" s="16"/>
    </row>
    <row r="16" spans="1:9" x14ac:dyDescent="0.45">
      <c r="B16" t="s">
        <v>141</v>
      </c>
      <c r="C16">
        <v>1</v>
      </c>
      <c r="D16" t="s">
        <v>143</v>
      </c>
      <c r="E16">
        <v>4500</v>
      </c>
      <c r="F16" s="16"/>
    </row>
    <row r="17" spans="1:7" x14ac:dyDescent="0.45">
      <c r="F17" s="16"/>
    </row>
    <row r="18" spans="1:7" x14ac:dyDescent="0.45">
      <c r="A18" t="s">
        <v>145</v>
      </c>
    </row>
    <row r="19" spans="1:7" x14ac:dyDescent="0.45">
      <c r="C19" s="17" t="s">
        <v>8</v>
      </c>
      <c r="D19" s="17" t="s">
        <v>5</v>
      </c>
      <c r="E19" s="17" t="s">
        <v>6</v>
      </c>
      <c r="F19" s="18" t="s">
        <v>7</v>
      </c>
    </row>
    <row r="20" spans="1:7" x14ac:dyDescent="0.45">
      <c r="A20" t="s">
        <v>146</v>
      </c>
      <c r="B20" t="s">
        <v>152</v>
      </c>
      <c r="C20">
        <f>3*11.5*C8</f>
        <v>345</v>
      </c>
      <c r="D20" t="s">
        <v>30</v>
      </c>
      <c r="E20">
        <v>85</v>
      </c>
      <c r="F20" s="16"/>
      <c r="G20" t="s">
        <v>153</v>
      </c>
    </row>
    <row r="22" spans="1:7" x14ac:dyDescent="0.45">
      <c r="A22" t="s">
        <v>154</v>
      </c>
    </row>
    <row r="24" spans="1:7" x14ac:dyDescent="0.45">
      <c r="A24" s="45" t="s">
        <v>156</v>
      </c>
      <c r="B24" s="45"/>
      <c r="C24" s="45"/>
      <c r="D24" s="45"/>
      <c r="E24" s="45"/>
      <c r="F24" s="45"/>
    </row>
    <row r="25" spans="1:7" x14ac:dyDescent="0.45">
      <c r="B25" t="s">
        <v>139</v>
      </c>
      <c r="C25">
        <v>1</v>
      </c>
      <c r="D25" t="s">
        <v>143</v>
      </c>
      <c r="F25" s="16">
        <f>E25*C25</f>
        <v>0</v>
      </c>
    </row>
    <row r="26" spans="1:7" x14ac:dyDescent="0.45">
      <c r="B26" t="s">
        <v>140</v>
      </c>
      <c r="C26">
        <v>5</v>
      </c>
      <c r="D26" t="s">
        <v>53</v>
      </c>
      <c r="E26">
        <v>2500</v>
      </c>
      <c r="F26" s="16">
        <f t="shared" ref="F26:F27" si="0">E26*C26</f>
        <v>12500</v>
      </c>
    </row>
    <row r="27" spans="1:7" x14ac:dyDescent="0.45">
      <c r="B27" t="s">
        <v>141</v>
      </c>
      <c r="C27">
        <v>1</v>
      </c>
      <c r="D27" t="s">
        <v>143</v>
      </c>
      <c r="F27" s="16">
        <f t="shared" si="0"/>
        <v>0</v>
      </c>
    </row>
    <row r="28" spans="1:7" x14ac:dyDescent="0.45">
      <c r="F28" s="16"/>
    </row>
    <row r="29" spans="1:7" x14ac:dyDescent="0.45">
      <c r="A29" t="s">
        <v>145</v>
      </c>
    </row>
    <row r="30" spans="1:7" x14ac:dyDescent="0.45">
      <c r="C30" s="17" t="s">
        <v>8</v>
      </c>
      <c r="D30" s="17" t="s">
        <v>5</v>
      </c>
      <c r="E30" s="17" t="s">
        <v>6</v>
      </c>
      <c r="F30" s="18" t="s">
        <v>7</v>
      </c>
    </row>
    <row r="31" spans="1:7" x14ac:dyDescent="0.45">
      <c r="A31" t="s">
        <v>146</v>
      </c>
      <c r="B31" t="s">
        <v>157</v>
      </c>
      <c r="C31">
        <f>5*11.5*2</f>
        <v>115</v>
      </c>
      <c r="D31" t="s">
        <v>30</v>
      </c>
      <c r="E31">
        <v>50</v>
      </c>
      <c r="F31" s="16">
        <f t="shared" ref="F31" si="1">E31*C31</f>
        <v>5750</v>
      </c>
    </row>
  </sheetData>
  <mergeCells count="2">
    <mergeCell ref="A1:F1"/>
    <mergeCell ref="A24:F24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9a2a4ae5-8ac1-460b-90f0-bb3c8516df35}" enabled="0" method="" siteId="{9a2a4ae5-8ac1-460b-90f0-bb3c8516df3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Rock Causeway Access</vt:lpstr>
      <vt:lpstr>Abutment Piling Pads</vt:lpstr>
      <vt:lpstr>Dewatering Pile Caps DJC</vt:lpstr>
      <vt:lpstr>Flashboards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 Maher</dc:creator>
  <cp:lastModifiedBy>Nicholas Maher</cp:lastModifiedBy>
  <dcterms:created xsi:type="dcterms:W3CDTF">2022-10-18T22:03:46Z</dcterms:created>
  <dcterms:modified xsi:type="dcterms:W3CDTF">2023-05-10T00:01:25Z</dcterms:modified>
</cp:coreProperties>
</file>